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700" windowHeight="6285" activeTab="0"/>
  </bookViews>
  <sheets>
    <sheet name="START HERE!! Annual Assumptions" sheetId="1" r:id="rId1"/>
    <sheet name="Monthly Budget &amp; Salary" sheetId="2" r:id="rId2"/>
    <sheet name="Sheet1" sheetId="3" r:id="rId3"/>
    <sheet name="Sheet2" sheetId="4" r:id="rId4"/>
    <sheet name="Sheet3" sheetId="5" r:id="rId5"/>
    <sheet name="Sheet4" sheetId="6" r:id="rId6"/>
  </sheets>
  <definedNames>
    <definedName name="_xlnm.Print_Area" localSheetId="0">'START HERE!! Annual Assumptions'!$A$1:$P$67</definedName>
  </definedNames>
  <calcPr fullCalcOnLoad="1"/>
</workbook>
</file>

<file path=xl/sharedStrings.xml><?xml version="1.0" encoding="utf-8"?>
<sst xmlns="http://schemas.openxmlformats.org/spreadsheetml/2006/main" count="109" uniqueCount="100">
  <si>
    <t>Projected Annual Expenses</t>
  </si>
  <si>
    <t>Projected Monthly Expenses</t>
  </si>
  <si>
    <t>Monthly Credit Card Est.</t>
  </si>
  <si>
    <t>Estimated Weekly Expenses</t>
  </si>
  <si>
    <t>Monthly Rent</t>
  </si>
  <si>
    <t>Restaurants</t>
  </si>
  <si>
    <t>Food (lunches)</t>
  </si>
  <si>
    <t>Monthly Utilities</t>
  </si>
  <si>
    <t>Food (other)</t>
  </si>
  <si>
    <t>Monthly Parking</t>
  </si>
  <si>
    <t>Gas  @yr</t>
  </si>
  <si>
    <t>ATM Withdrawals</t>
  </si>
  <si>
    <t>Gym Membership</t>
  </si>
  <si>
    <t>Total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</si>
  <si>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</si>
  <si>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</si>
  <si>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</si>
  <si>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</si>
  <si>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</si>
  <si>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</si>
  <si>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</si>
  <si>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</si>
  <si>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</si>
  <si>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</si>
  <si>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</si>
  <si>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</si>
  <si>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</si>
  <si>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 Expenses</t>
  </si>
  <si>
    <t>Monthly Expenses</t>
  </si>
  <si>
    <t>Annual Expenses</t>
  </si>
  <si>
    <t>Credit Card Exp.</t>
  </si>
  <si>
    <t>Cum. Weekly Exp.</t>
  </si>
  <si>
    <t>Assumptions</t>
  </si>
  <si>
    <t>Growth Rate</t>
  </si>
  <si>
    <t>Tax Filing:</t>
  </si>
  <si>
    <t>Jointly (1)</t>
  </si>
  <si>
    <t>Single (2)</t>
  </si>
  <si>
    <t>Starting Base Salary</t>
  </si>
  <si>
    <t>1st Brck $</t>
  </si>
  <si>
    <t>Annual Incentive Bonus</t>
  </si>
  <si>
    <t>Current Age (yrs)</t>
  </si>
  <si>
    <t>1st Brck %</t>
  </si>
  <si>
    <t>401K Contribution Limit</t>
  </si>
  <si>
    <t>2nd Brck $</t>
  </si>
  <si>
    <t>2nd Brck %</t>
  </si>
  <si>
    <t>3rd Brck $</t>
  </si>
  <si>
    <t>3rd Brck %</t>
  </si>
  <si>
    <t>4th Brck $</t>
  </si>
  <si>
    <t>Base Salary</t>
  </si>
  <si>
    <t>Signing Bonus</t>
  </si>
  <si>
    <t>Total Compensation</t>
  </si>
  <si>
    <t>401k Contributions</t>
  </si>
  <si>
    <t>Total Net Compensation</t>
  </si>
  <si>
    <t>Tax First Bracket</t>
  </si>
  <si>
    <t>Tax Second Bracket</t>
  </si>
  <si>
    <t>Tax Third Bracket</t>
  </si>
  <si>
    <t>Tax Fourth Bracket</t>
  </si>
  <si>
    <t>Total Federal Tax (Single)</t>
  </si>
  <si>
    <t>Fica Tax:</t>
  </si>
  <si>
    <t>State Tax:</t>
  </si>
  <si>
    <t>Medicare:</t>
  </si>
  <si>
    <t>Total Taxes Paid</t>
  </si>
  <si>
    <t>Net Compensation</t>
  </si>
  <si>
    <t>AMORTIZATION TABLE</t>
  </si>
  <si>
    <t>Interest Rate</t>
  </si>
  <si>
    <t>Loan Value:</t>
  </si>
  <si>
    <t>Amortization Period</t>
  </si>
  <si>
    <t>Beginning</t>
  </si>
  <si>
    <t xml:space="preserve">Ending </t>
  </si>
  <si>
    <t>Year</t>
  </si>
  <si>
    <t>Balance</t>
  </si>
  <si>
    <t>Interest</t>
  </si>
  <si>
    <t>Principal</t>
  </si>
  <si>
    <t>Payment</t>
  </si>
  <si>
    <t>Aft./Tax Disposable Income</t>
  </si>
  <si>
    <t>Cumulative Annual Savings</t>
  </si>
  <si>
    <t>Net Monthly Savings</t>
  </si>
  <si>
    <t>Savings Rate as % of total income</t>
  </si>
  <si>
    <t>Savings Rate as % of after tax income</t>
  </si>
  <si>
    <t>Annual Disposable Income</t>
  </si>
  <si>
    <t>Annual savings after tax and expenses</t>
  </si>
  <si>
    <t>Monthly Payment</t>
  </si>
  <si>
    <t>Jointly</t>
  </si>
  <si>
    <t>Single</t>
  </si>
  <si>
    <t>ADJUST BLUE CELLS ONLY</t>
  </si>
  <si>
    <t>Debt payments</t>
  </si>
  <si>
    <t>MA</t>
  </si>
  <si>
    <t>&lt;$65,000</t>
  </si>
  <si>
    <t>3rd&amp;4th Brackets:</t>
  </si>
  <si>
    <t xml:space="preserve">Vacations </t>
  </si>
  <si>
    <t>Other (phone etc.)</t>
  </si>
  <si>
    <t>Gifts@yr</t>
  </si>
  <si>
    <t>Clothing yr</t>
  </si>
  <si>
    <t>PLUG IN ANNUAL SALARY ASSUMPTIONS ON TAB TO THE LEFT FIRST</t>
  </si>
  <si>
    <t>Other</t>
  </si>
  <si>
    <t>Insurance(car/apt.)  per yr:</t>
  </si>
  <si>
    <t>Health Insurance     per yr:</t>
  </si>
  <si>
    <t>Dental &amp; Disability       yr:</t>
  </si>
  <si>
    <t>yr:</t>
  </si>
  <si>
    <t>Other annual exp.          yr:</t>
  </si>
</sst>
</file>

<file path=xl/styles.xml><?xml version="1.0" encoding="utf-8"?>
<styleSheet xmlns="http://schemas.openxmlformats.org/spreadsheetml/2006/main">
  <numFmts count="1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_)"/>
    <numFmt numFmtId="166" formatCode="0_)"/>
    <numFmt numFmtId="167" formatCode="#,##0.0_);\(#,##0.0\)"/>
    <numFmt numFmtId="168" formatCode="_(* #,##0.0_);_(* \(#,##0.0\);_(* &quot;-&quot;??_);_(@_)"/>
    <numFmt numFmtId="169" formatCode="_(* #,##0_);_(* \(#,##0\);_(* &quot;-&quot;??_);_(@_)"/>
    <numFmt numFmtId="170" formatCode="#,##0.0"/>
    <numFmt numFmtId="171" formatCode="mm/dd/yy"/>
    <numFmt numFmtId="172" formatCode="0.0"/>
    <numFmt numFmtId="173" formatCode="0.0%"/>
    <numFmt numFmtId="174" formatCode="0.0\ \ \ \ \ "/>
    <numFmt numFmtId="175" formatCode="0.00\ &quot;Years&quot;"/>
    <numFmt numFmtId="176" formatCode="#,##0.0_)\ \ \ \ ;\(#,##0.0\)\ \ \ \ "/>
    <numFmt numFmtId="177" formatCode="yyyy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\ \ \ \ "/>
    <numFmt numFmtId="186" formatCode="0.0\ \ \ \ \ \ \ "/>
    <numFmt numFmtId="187" formatCode="0.0\ \ \ "/>
    <numFmt numFmtId="188" formatCode="0.0\ \ \ \ \ \ "/>
    <numFmt numFmtId="189" formatCode="0.0\ \ "/>
    <numFmt numFmtId="190" formatCode="0.0\ "/>
    <numFmt numFmtId="191" formatCode="0.00\ \ "/>
    <numFmt numFmtId="192" formatCode="0.00\ "/>
    <numFmt numFmtId="193" formatCode="0\ \ "/>
    <numFmt numFmtId="194" formatCode="0\ \ \ "/>
    <numFmt numFmtId="195" formatCode="0.00_)"/>
    <numFmt numFmtId="196" formatCode="#,##0,"/>
    <numFmt numFmtId="197" formatCode="0.0000%"/>
    <numFmt numFmtId="198" formatCode="0.0&quot;%&quot;"/>
    <numFmt numFmtId="199" formatCode="&quot;NA&quot;"/>
    <numFmt numFmtId="200" formatCode=";;;"/>
    <numFmt numFmtId="201" formatCode="&quot;--&quot;"/>
    <numFmt numFmtId="202" formatCode="&quot;$&quot;#,##0.0_);\(&quot;$&quot;#,##0.0\)"/>
    <numFmt numFmtId="203" formatCode="&quot;$&quot;#,##0\);\(&quot;$&quot;#,##0\)"/>
    <numFmt numFmtId="204" formatCode="&quot;$&quot;#,##0"/>
    <numFmt numFmtId="205" formatCode="&quot;$&quot;#,##0.0"/>
    <numFmt numFmtId="206" formatCode="0&quot;%&quot;"/>
    <numFmt numFmtId="207" formatCode="#,##0.0_);\(#,##0\)"/>
    <numFmt numFmtId="208" formatCode="0.0000000000"/>
    <numFmt numFmtId="209" formatCode="0.0&quot;%&quot;\ \ "/>
    <numFmt numFmtId="210" formatCode="@\ \ \ \ "/>
    <numFmt numFmtId="211" formatCode="@\ \ \ \ \ "/>
    <numFmt numFmtId="212" formatCode="#,##0.000_);\(#,##0.000\)"/>
    <numFmt numFmtId="213" formatCode="0.0&quot;%&quot;\ \ \ \ "/>
    <numFmt numFmtId="214" formatCode="0.0&quot;%&quot;\ \ \ \ \ "/>
    <numFmt numFmtId="215" formatCode="0.0&quot;%&quot;\ \ \ "/>
    <numFmt numFmtId="216" formatCode="0.0&quot;%&quot;\ "/>
    <numFmt numFmtId="217" formatCode="#,##0.000"/>
    <numFmt numFmtId="218" formatCode="#,##0.0000"/>
    <numFmt numFmtId="219" formatCode="0%\ \ \ "/>
    <numFmt numFmtId="220" formatCode="0.0%\ \ \ "/>
    <numFmt numFmtId="221" formatCode="0.0%\ \ "/>
    <numFmt numFmtId="222" formatCode="&quot;$&quot;#,##0_);\(&quot;$&quot;#,##0\)\ \ \ "/>
    <numFmt numFmtId="223" formatCode="0.0\ \ \ \ \ \ \ \ "/>
    <numFmt numFmtId="224" formatCode="0.00\ \ \ \ "/>
    <numFmt numFmtId="225" formatCode="0.0\ \ \ \ \ \ \ \ \ \ \ "/>
    <numFmt numFmtId="226" formatCode="0.0\ \ \ \ \ \ \ \ \ \ \ \ \ \ \ \ \ \ \ "/>
    <numFmt numFmtId="227" formatCode="0.0\ \ \ \ \ \ \ \ \ \ \ \ \ \ \ \ "/>
    <numFmt numFmtId="228" formatCode="0.0\ \ \ \ \ \ \ \ \ \ \ \ \ \ \ \ \ "/>
    <numFmt numFmtId="229" formatCode="0.0\ \ \ \ \ \ \ \ \ \ \ \ \ \ \ \ \ \ "/>
    <numFmt numFmtId="230" formatCode="0\Q"/>
    <numFmt numFmtId="231" formatCode="yy"/>
    <numFmt numFmtId="232" formatCode="0.00&quot; Years&quot;"/>
    <numFmt numFmtId="233" formatCode="0&quot; Years&quot;"/>
    <numFmt numFmtId="234" formatCode="\:\:\:"/>
    <numFmt numFmtId="235" formatCode=".0."/>
    <numFmt numFmtId="236" formatCode="0\ &quot;Year&quot;"/>
    <numFmt numFmtId="237" formatCode="[Red]0.00%"/>
    <numFmt numFmtId="238" formatCode="&quot;$&quot;#,##0;\(&quot;$&quot;#,##0\)"/>
    <numFmt numFmtId="239" formatCode="0.0\ \ \ \ \ \ \ \ \ \ "/>
    <numFmt numFmtId="240" formatCode="0.00\ \ \ \ \ "/>
    <numFmt numFmtId="241" formatCode="0.00\ \ \ \ \ \ \ \ \ "/>
    <numFmt numFmtId="242" formatCode="&quot;$&quot;#,##0_);\(&quot;$&quot;#,##0\)\ \ "/>
    <numFmt numFmtId="243" formatCode="&quot;$&quot;#,##0_);\(&quot;$&quot;#,##0\)\ \ \ \ "/>
    <numFmt numFmtId="244" formatCode="0\ \ \ \ \ "/>
    <numFmt numFmtId="245" formatCode="0.0\ \ \ \ \ \ \ \ \ \ \ \ "/>
    <numFmt numFmtId="246" formatCode="0.00%\ \ \ \ \ \ \ \ "/>
    <numFmt numFmtId="247" formatCode="0.0%\ \ \ \ \ \ \ \ \ \ \ \ "/>
    <numFmt numFmtId="248" formatCode="0.00%\ \ \ "/>
    <numFmt numFmtId="249" formatCode="0%\ \ \ \ \ \ \ \ "/>
    <numFmt numFmtId="250" formatCode="0.0%\ "/>
    <numFmt numFmtId="251" formatCode="&quot;DRAFT&quot;\ m/d/yy"/>
    <numFmt numFmtId="252" formatCode="0.000\ \ \ "/>
    <numFmt numFmtId="253" formatCode="0.00\ \ \ "/>
    <numFmt numFmtId="254" formatCode="0.%"/>
    <numFmt numFmtId="255" formatCode="0%\ \ "/>
    <numFmt numFmtId="256" formatCode="0%\ "/>
    <numFmt numFmtId="257" formatCode="0.00%\ \ \ \ \ "/>
    <numFmt numFmtId="258" formatCode="0%\ \ \ \ \ "/>
    <numFmt numFmtId="259" formatCode="0%\ \ \ \ "/>
    <numFmt numFmtId="260" formatCode="0\ \ \ \ "/>
    <numFmt numFmtId="261" formatCode="&quot;$&quot;0"/>
    <numFmt numFmtId="262" formatCode="&quot;$&quot;0\ \ \ \ "/>
    <numFmt numFmtId="263" formatCode="0.00%\ \ \ \ "/>
    <numFmt numFmtId="264" formatCode="0.00%\ \ "/>
    <numFmt numFmtId="265" formatCode="0.0%\ \ \ \ \ "/>
    <numFmt numFmtId="266" formatCode="0.0%\ \ \ \ "/>
    <numFmt numFmtId="267" formatCode="mmm\ \ d\ &quot;,&quot;\ yyyy"/>
    <numFmt numFmtId="268" formatCode="mmmm\ \ d\ &quot;,&quot;\ yyyy"/>
    <numFmt numFmtId="269" formatCode="mmmm\ dd&quot;,&quot;\ yy"/>
    <numFmt numFmtId="270" formatCode="mmmm\ dd&quot;,&quot;\ yyyy"/>
    <numFmt numFmtId="271" formatCode="mmmm\ \ d&quot;,&quot;\ yyyy"/>
    <numFmt numFmtId="272" formatCode="0.00000\ \ "/>
    <numFmt numFmtId="273" formatCode="0.000000\ \ "/>
    <numFmt numFmtId="274" formatCode="0&quot;%&quot;\ \ \ "/>
    <numFmt numFmtId="275" formatCode="0&quot;%&quot;\ \ \ \ \ "/>
    <numFmt numFmtId="276" formatCode="&quot;As of&quot;\ mmmm\ dd&quot;,&quot;\ yyyy"/>
    <numFmt numFmtId="277" formatCode="mmmm\ d&quot;,&quot;\ yyyy"/>
    <numFmt numFmtId="278" formatCode="mmm/d/yy"/>
    <numFmt numFmtId="279" formatCode="mmmm/d/yy"/>
    <numFmt numFmtId="280" formatCode="mmmm\,dd\ yyyy"/>
    <numFmt numFmtId="281" formatCode="mmmm\ dd\,\ yyyy"/>
    <numFmt numFmtId="282" formatCode="m/d"/>
    <numFmt numFmtId="283" formatCode="mmmm\ d\,\ yyyy"/>
    <numFmt numFmtId="284" formatCode="&quot;$&quot;#,##0_);\(&quot;$&quot;#,##0\)\ \ \ \ \ "/>
    <numFmt numFmtId="285" formatCode="&quot;$&quot;#,##0.00"/>
    <numFmt numFmtId="286" formatCode="&quot;$&quot;0\ &quot;per month&quot;"/>
    <numFmt numFmtId="287" formatCode="&quot;$&quot;0\ &quot; /month&quot;"/>
    <numFmt numFmtId="288" formatCode="&quot;$&quot;0\ &quot;/month&quot;"/>
    <numFmt numFmtId="289" formatCode="&quot;Age&quot;\ 0"/>
    <numFmt numFmtId="290" formatCode="0.00&quot;% growth&quot;"/>
    <numFmt numFmtId="291" formatCode="0\ &quot;yrs. old&quot;"/>
    <numFmt numFmtId="292" formatCode="&quot;$&quot;0\ \ "/>
    <numFmt numFmtId="293" formatCode="&quot;$&quot;#,##0\ \ \ "/>
    <numFmt numFmtId="294" formatCode="&quot;$&quot;#,##0\ \ "/>
    <numFmt numFmtId="295" formatCode="&quot;$&quot;#,##0\ "/>
    <numFmt numFmtId="296" formatCode="0.00&quot;% Gr. Rate&quot;"/>
    <numFmt numFmtId="297" formatCode="0\ &quot;years&quot;"/>
  </numFmts>
  <fonts count="18">
    <font>
      <sz val="10"/>
      <name val="Times New Roman"/>
      <family val="0"/>
    </font>
    <font>
      <sz val="10"/>
      <name val="MS Sans Serif"/>
      <family val="0"/>
    </font>
    <font>
      <sz val="10"/>
      <name val="Helv"/>
      <family val="0"/>
    </font>
    <font>
      <u val="single"/>
      <sz val="10"/>
      <color indexed="12"/>
      <name val="Times New Roman"/>
      <family val="0"/>
    </font>
    <font>
      <sz val="12"/>
      <name val="Helv"/>
      <family val="0"/>
    </font>
    <font>
      <sz val="10"/>
      <name val="Tms Rmn"/>
      <family val="0"/>
    </font>
    <font>
      <sz val="10"/>
      <name val="Courier"/>
      <family val="0"/>
    </font>
    <font>
      <sz val="10"/>
      <name val="Arial"/>
      <family val="0"/>
    </font>
    <font>
      <sz val="10"/>
      <name val="CG Times (E1)"/>
      <family val="0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u val="single"/>
      <sz val="9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sz val="9"/>
      <name val="Times New Roman"/>
      <family val="1"/>
    </font>
    <font>
      <b/>
      <sz val="8.5"/>
      <color indexed="12"/>
      <name val="Times New Roman"/>
      <family val="1"/>
    </font>
    <font>
      <sz val="6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" fontId="2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" fontId="2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2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4" fontId="4" fillId="0" borderId="0">
      <alignment/>
      <protection/>
    </xf>
    <xf numFmtId="0" fontId="5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5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6" fillId="0" borderId="0">
      <alignment/>
      <protection/>
    </xf>
    <xf numFmtId="0" fontId="0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0" fontId="1" fillId="0" borderId="0">
      <alignment/>
      <protection/>
    </xf>
    <xf numFmtId="164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0" fontId="0" fillId="0" borderId="0">
      <alignment/>
      <protection/>
    </xf>
    <xf numFmtId="164" fontId="6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164" fontId="0" fillId="0" borderId="0" xfId="97">
      <alignment/>
      <protection/>
    </xf>
    <xf numFmtId="164" fontId="9" fillId="0" borderId="1" xfId="97" applyFont="1" applyBorder="1">
      <alignment/>
      <protection/>
    </xf>
    <xf numFmtId="164" fontId="0" fillId="0" borderId="2" xfId="97" applyBorder="1">
      <alignment/>
      <protection/>
    </xf>
    <xf numFmtId="164" fontId="0" fillId="0" borderId="3" xfId="97" applyBorder="1">
      <alignment/>
      <protection/>
    </xf>
    <xf numFmtId="164" fontId="0" fillId="0" borderId="4" xfId="97" applyBorder="1">
      <alignment/>
      <protection/>
    </xf>
    <xf numFmtId="164" fontId="0" fillId="0" borderId="0" xfId="97" applyBorder="1">
      <alignment/>
      <protection/>
    </xf>
    <xf numFmtId="294" fontId="0" fillId="0" borderId="0" xfId="97" applyNumberFormat="1" applyFont="1" applyBorder="1" applyAlignment="1">
      <alignment horizontal="right"/>
      <protection/>
    </xf>
    <xf numFmtId="164" fontId="0" fillId="0" borderId="5" xfId="97" applyBorder="1">
      <alignment/>
      <protection/>
    </xf>
    <xf numFmtId="204" fontId="0" fillId="0" borderId="0" xfId="97" applyNumberFormat="1" applyFont="1" applyBorder="1">
      <alignment/>
      <protection/>
    </xf>
    <xf numFmtId="164" fontId="11" fillId="0" borderId="6" xfId="97" applyFont="1" applyBorder="1">
      <alignment/>
      <protection/>
    </xf>
    <xf numFmtId="164" fontId="0" fillId="0" borderId="7" xfId="97" applyBorder="1">
      <alignment/>
      <protection/>
    </xf>
    <xf numFmtId="204" fontId="11" fillId="0" borderId="8" xfId="97" applyNumberFormat="1" applyFont="1" applyBorder="1">
      <alignment/>
      <protection/>
    </xf>
    <xf numFmtId="204" fontId="0" fillId="0" borderId="0" xfId="97" applyNumberFormat="1" applyFont="1">
      <alignment/>
      <protection/>
    </xf>
    <xf numFmtId="164" fontId="11" fillId="0" borderId="0" xfId="97" applyFont="1">
      <alignment/>
      <protection/>
    </xf>
    <xf numFmtId="164" fontId="11" fillId="0" borderId="0" xfId="97" applyFont="1" applyAlignment="1">
      <alignment horizontal="center"/>
      <protection/>
    </xf>
    <xf numFmtId="164" fontId="0" fillId="0" borderId="9" xfId="97" applyBorder="1">
      <alignment/>
      <protection/>
    </xf>
    <xf numFmtId="164" fontId="0" fillId="0" borderId="10" xfId="97" applyBorder="1">
      <alignment/>
      <protection/>
    </xf>
    <xf numFmtId="204" fontId="0" fillId="0" borderId="10" xfId="97" applyNumberFormat="1" applyFont="1" applyBorder="1">
      <alignment/>
      <protection/>
    </xf>
    <xf numFmtId="204" fontId="0" fillId="0" borderId="11" xfId="97" applyNumberFormat="1" applyFont="1" applyBorder="1">
      <alignment/>
      <protection/>
    </xf>
    <xf numFmtId="10" fontId="0" fillId="0" borderId="0" xfId="97" applyNumberFormat="1">
      <alignment/>
      <protection/>
    </xf>
    <xf numFmtId="10" fontId="0" fillId="0" borderId="0" xfId="97" applyNumberFormat="1" applyFont="1">
      <alignment/>
      <protection/>
    </xf>
    <xf numFmtId="164" fontId="0" fillId="0" borderId="0" xfId="97" applyFont="1">
      <alignment/>
      <protection/>
    </xf>
    <xf numFmtId="164" fontId="9" fillId="0" borderId="0" xfId="97" applyFont="1">
      <alignment/>
      <protection/>
    </xf>
    <xf numFmtId="164" fontId="12" fillId="0" borderId="0" xfId="97" applyFont="1" applyAlignment="1">
      <alignment horizontal="center"/>
      <protection/>
    </xf>
    <xf numFmtId="164" fontId="11" fillId="0" borderId="0" xfId="97" applyFont="1" applyAlignment="1">
      <alignment horizontal="right"/>
      <protection/>
    </xf>
    <xf numFmtId="164" fontId="13" fillId="0" borderId="12" xfId="97" applyFont="1" applyBorder="1" applyAlignment="1">
      <alignment horizontal="center"/>
      <protection/>
    </xf>
    <xf numFmtId="294" fontId="14" fillId="0" borderId="0" xfId="97" applyNumberFormat="1" applyFont="1" applyAlignment="1">
      <alignment horizontal="right"/>
      <protection/>
    </xf>
    <xf numFmtId="10" fontId="14" fillId="0" borderId="0" xfId="97" applyNumberFormat="1" applyFont="1" applyAlignment="1">
      <alignment horizontal="center"/>
      <protection/>
    </xf>
    <xf numFmtId="164" fontId="15" fillId="0" borderId="0" xfId="97" applyFont="1">
      <alignment/>
      <protection/>
    </xf>
    <xf numFmtId="204" fontId="0" fillId="0" borderId="13" xfId="97" applyNumberFormat="1" applyBorder="1">
      <alignment/>
      <protection/>
    </xf>
    <xf numFmtId="164" fontId="14" fillId="0" borderId="0" xfId="97" applyFont="1" applyAlignment="1">
      <alignment horizontal="center"/>
      <protection/>
    </xf>
    <xf numFmtId="10" fontId="0" fillId="0" borderId="14" xfId="97" applyNumberFormat="1" applyBorder="1">
      <alignment/>
      <protection/>
    </xf>
    <xf numFmtId="289" fontId="0" fillId="0" borderId="0" xfId="97" applyNumberFormat="1" applyAlignment="1">
      <alignment horizontal="center"/>
      <protection/>
    </xf>
    <xf numFmtId="164" fontId="10" fillId="0" borderId="0" xfId="97" applyFont="1" applyAlignment="1">
      <alignment horizontal="center"/>
      <protection/>
    </xf>
    <xf numFmtId="204" fontId="0" fillId="0" borderId="0" xfId="97" applyNumberFormat="1">
      <alignment/>
      <protection/>
    </xf>
    <xf numFmtId="164" fontId="0" fillId="0" borderId="9" xfId="97" applyFont="1" applyBorder="1">
      <alignment/>
      <protection/>
    </xf>
    <xf numFmtId="164" fontId="0" fillId="0" borderId="10" xfId="97" applyFont="1" applyBorder="1">
      <alignment/>
      <protection/>
    </xf>
    <xf numFmtId="204" fontId="0" fillId="0" borderId="10" xfId="97" applyNumberFormat="1" applyBorder="1">
      <alignment/>
      <protection/>
    </xf>
    <xf numFmtId="204" fontId="0" fillId="0" borderId="11" xfId="97" applyNumberFormat="1" applyBorder="1">
      <alignment/>
      <protection/>
    </xf>
    <xf numFmtId="173" fontId="14" fillId="0" borderId="14" xfId="97" applyNumberFormat="1" applyFont="1" applyBorder="1">
      <alignment/>
      <protection/>
    </xf>
    <xf numFmtId="164" fontId="11" fillId="0" borderId="9" xfId="97" applyFont="1" applyBorder="1">
      <alignment/>
      <protection/>
    </xf>
    <xf numFmtId="164" fontId="11" fillId="0" borderId="10" xfId="97" applyFont="1" applyBorder="1">
      <alignment/>
      <protection/>
    </xf>
    <xf numFmtId="204" fontId="11" fillId="0" borderId="10" xfId="97" applyNumberFormat="1" applyFont="1" applyBorder="1">
      <alignment/>
      <protection/>
    </xf>
    <xf numFmtId="204" fontId="11" fillId="0" borderId="11" xfId="97" applyNumberFormat="1" applyFont="1" applyBorder="1">
      <alignment/>
      <protection/>
    </xf>
    <xf numFmtId="204" fontId="15" fillId="0" borderId="0" xfId="97" applyNumberFormat="1" applyFont="1">
      <alignment/>
      <protection/>
    </xf>
    <xf numFmtId="10" fontId="11" fillId="0" borderId="0" xfId="97" applyNumberFormat="1" applyFont="1">
      <alignment/>
      <protection/>
    </xf>
    <xf numFmtId="10" fontId="14" fillId="0" borderId="0" xfId="97" applyNumberFormat="1" applyFont="1">
      <alignment/>
      <protection/>
    </xf>
    <xf numFmtId="164" fontId="11" fillId="0" borderId="1" xfId="97" applyFont="1" applyBorder="1">
      <alignment/>
      <protection/>
    </xf>
    <xf numFmtId="164" fontId="0" fillId="0" borderId="2" xfId="97" applyFont="1" applyBorder="1">
      <alignment/>
      <protection/>
    </xf>
    <xf numFmtId="164" fontId="0" fillId="0" borderId="4" xfId="97" applyFont="1" applyBorder="1">
      <alignment/>
      <protection/>
    </xf>
    <xf numFmtId="164" fontId="0" fillId="0" borderId="0" xfId="97" applyFont="1" applyBorder="1">
      <alignment/>
      <protection/>
    </xf>
    <xf numFmtId="173" fontId="13" fillId="0" borderId="0" xfId="120" applyNumberFormat="1" applyFont="1" applyBorder="1" applyAlignment="1">
      <alignment/>
    </xf>
    <xf numFmtId="164" fontId="0" fillId="0" borderId="0" xfId="97" applyFont="1" applyBorder="1" applyAlignment="1">
      <alignment horizontal="right"/>
      <protection/>
    </xf>
    <xf numFmtId="297" fontId="13" fillId="0" borderId="0" xfId="97" applyNumberFormat="1" applyFont="1" applyBorder="1">
      <alignment/>
      <protection/>
    </xf>
    <xf numFmtId="164" fontId="0" fillId="0" borderId="0" xfId="97" applyFont="1" applyBorder="1" applyAlignment="1">
      <alignment horizontal="center"/>
      <protection/>
    </xf>
    <xf numFmtId="164" fontId="0" fillId="0" borderId="5" xfId="97" applyFont="1" applyBorder="1" applyAlignment="1">
      <alignment horizontal="center"/>
      <protection/>
    </xf>
    <xf numFmtId="164" fontId="10" fillId="0" borderId="4" xfId="97" applyFont="1" applyBorder="1" applyAlignment="1">
      <alignment horizontal="right"/>
      <protection/>
    </xf>
    <xf numFmtId="164" fontId="10" fillId="0" borderId="0" xfId="97" applyFont="1" applyBorder="1" applyAlignment="1">
      <alignment horizontal="right"/>
      <protection/>
    </xf>
    <xf numFmtId="164" fontId="10" fillId="0" borderId="0" xfId="97" applyFont="1" applyBorder="1" applyAlignment="1">
      <alignment horizontal="center"/>
      <protection/>
    </xf>
    <xf numFmtId="164" fontId="10" fillId="0" borderId="5" xfId="97" applyFont="1" applyBorder="1" applyAlignment="1">
      <alignment horizontal="center"/>
      <protection/>
    </xf>
    <xf numFmtId="3" fontId="0" fillId="0" borderId="0" xfId="15" applyNumberFormat="1" applyFont="1" applyBorder="1" applyAlignment="1">
      <alignment/>
    </xf>
    <xf numFmtId="3" fontId="0" fillId="0" borderId="5" xfId="15" applyNumberFormat="1" applyFont="1" applyBorder="1" applyAlignment="1">
      <alignment/>
    </xf>
    <xf numFmtId="164" fontId="0" fillId="0" borderId="6" xfId="97" applyFont="1" applyBorder="1">
      <alignment/>
      <protection/>
    </xf>
    <xf numFmtId="3" fontId="0" fillId="0" borderId="7" xfId="15" applyNumberFormat="1" applyFont="1" applyBorder="1" applyAlignment="1">
      <alignment/>
    </xf>
    <xf numFmtId="3" fontId="0" fillId="0" borderId="8" xfId="15" applyNumberFormat="1" applyFont="1" applyBorder="1" applyAlignment="1">
      <alignment/>
    </xf>
    <xf numFmtId="204" fontId="16" fillId="0" borderId="5" xfId="97" applyNumberFormat="1" applyFont="1" applyBorder="1">
      <alignment/>
      <protection/>
    </xf>
    <xf numFmtId="204" fontId="16" fillId="0" borderId="0" xfId="15" applyNumberFormat="1" applyFont="1" applyBorder="1" applyAlignment="1">
      <alignment/>
    </xf>
    <xf numFmtId="204" fontId="0" fillId="0" borderId="0" xfId="15" applyNumberFormat="1" applyFont="1" applyBorder="1" applyAlignment="1">
      <alignment/>
    </xf>
    <xf numFmtId="204" fontId="0" fillId="0" borderId="5" xfId="15" applyNumberFormat="1" applyFont="1" applyBorder="1" applyAlignment="1">
      <alignment/>
    </xf>
    <xf numFmtId="204" fontId="15" fillId="0" borderId="0" xfId="15" applyNumberFormat="1" applyFont="1" applyBorder="1" applyAlignment="1">
      <alignment/>
    </xf>
    <xf numFmtId="164" fontId="0" fillId="0" borderId="14" xfId="97" applyBorder="1" applyAlignment="1">
      <alignment horizontal="center"/>
      <protection/>
    </xf>
    <xf numFmtId="204" fontId="14" fillId="0" borderId="5" xfId="97" applyNumberFormat="1" applyFont="1" applyBorder="1">
      <alignment/>
      <protection/>
    </xf>
    <xf numFmtId="164" fontId="14" fillId="0" borderId="5" xfId="97" applyFont="1" applyBorder="1">
      <alignment/>
      <protection/>
    </xf>
    <xf numFmtId="204" fontId="14" fillId="0" borderId="0" xfId="97" applyNumberFormat="1" applyFont="1" applyBorder="1">
      <alignment/>
      <protection/>
    </xf>
    <xf numFmtId="164" fontId="14" fillId="0" borderId="0" xfId="97" applyFont="1">
      <alignment/>
      <protection/>
    </xf>
    <xf numFmtId="204" fontId="3" fillId="0" borderId="5" xfId="97" applyNumberFormat="1" applyFont="1" applyBorder="1">
      <alignment/>
      <protection/>
    </xf>
    <xf numFmtId="164" fontId="13" fillId="0" borderId="9" xfId="97" applyFont="1" applyBorder="1">
      <alignment/>
      <protection/>
    </xf>
    <xf numFmtId="164" fontId="0" fillId="0" borderId="11" xfId="97" applyBorder="1">
      <alignment/>
      <protection/>
    </xf>
    <xf numFmtId="204" fontId="13" fillId="0" borderId="9" xfId="97" applyNumberFormat="1" applyFont="1" applyBorder="1">
      <alignment/>
      <protection/>
    </xf>
    <xf numFmtId="164" fontId="17" fillId="0" borderId="0" xfId="97" applyFont="1">
      <alignment/>
      <protection/>
    </xf>
    <xf numFmtId="164" fontId="0" fillId="0" borderId="0" xfId="97" applyBorder="1" applyAlignment="1">
      <alignment horizontal="right"/>
      <protection/>
    </xf>
    <xf numFmtId="294" fontId="13" fillId="0" borderId="14" xfId="97" applyNumberFormat="1" applyFont="1" applyBorder="1" applyAlignment="1">
      <alignment horizontal="right"/>
      <protection/>
    </xf>
  </cellXfs>
  <cellStyles count="107">
    <cellStyle name="Normal" xfId="0"/>
    <cellStyle name="Comma" xfId="15"/>
    <cellStyle name="Comma [0]" xfId="16"/>
    <cellStyle name="Comma [0]_AA_CHART" xfId="17"/>
    <cellStyle name="Comma [0]_ASST_PIE" xfId="18"/>
    <cellStyle name="Comma [0]_AT&amp;RT_A" xfId="19"/>
    <cellStyle name="Comma [0]_ATSUMM" xfId="20"/>
    <cellStyle name="Comma [0]_CALD_RTN" xfId="21"/>
    <cellStyle name="Comma [0]_ENDOW" xfId="22"/>
    <cellStyle name="Comma [0]_HRGLASS" xfId="23"/>
    <cellStyle name="Comma [0]_HRGLASS (2)" xfId="24"/>
    <cellStyle name="Comma [0]_MEMO" xfId="25"/>
    <cellStyle name="Comma [0]_TF_FY" xfId="26"/>
    <cellStyle name="Comma_AA" xfId="27"/>
    <cellStyle name="Comma_AA_CHART" xfId="28"/>
    <cellStyle name="Comma_ASST_PIE" xfId="29"/>
    <cellStyle name="Comma_AT&amp;RT_A" xfId="30"/>
    <cellStyle name="Comma_ATSUMM" xfId="31"/>
    <cellStyle name="Comma_CALD_RTN" xfId="32"/>
    <cellStyle name="Comma_ENDOW" xfId="33"/>
    <cellStyle name="Comma_HRGLASS" xfId="34"/>
    <cellStyle name="Comma_HRGLASS (2)" xfId="35"/>
    <cellStyle name="Comma_MEMO" xfId="36"/>
    <cellStyle name="Comma_TF" xfId="37"/>
    <cellStyle name="Comma_TF_FY" xfId="38"/>
    <cellStyle name="Comma_TF_FY_1" xfId="39"/>
    <cellStyle name="Comma_TF_PERF" xfId="40"/>
    <cellStyle name="Currency" xfId="41"/>
    <cellStyle name="Currency [0]" xfId="42"/>
    <cellStyle name="Currency [0]_AA_CHART" xfId="43"/>
    <cellStyle name="Currency [0]_ASST_PIE" xfId="44"/>
    <cellStyle name="Currency [0]_AT&amp;RT_A" xfId="45"/>
    <cellStyle name="Currency [0]_ATSUMM" xfId="46"/>
    <cellStyle name="Currency [0]_CALD_RTN" xfId="47"/>
    <cellStyle name="Currency [0]_ENDOW" xfId="48"/>
    <cellStyle name="Currency [0]_HRGLASS" xfId="49"/>
    <cellStyle name="Currency [0]_HRGLASS (2)" xfId="50"/>
    <cellStyle name="Currency [0]_MEMO" xfId="51"/>
    <cellStyle name="Currency [0]_TF_FY" xfId="52"/>
    <cellStyle name="Currency_AA" xfId="53"/>
    <cellStyle name="Currency_AA_CHART" xfId="54"/>
    <cellStyle name="Currency_ASST_PIE" xfId="55"/>
    <cellStyle name="Currency_AT&amp;RT_A" xfId="56"/>
    <cellStyle name="Currency_ATSUMM" xfId="57"/>
    <cellStyle name="Currency_CALD_RTN" xfId="58"/>
    <cellStyle name="Currency_ENDOW" xfId="59"/>
    <cellStyle name="Currency_HRGLASS" xfId="60"/>
    <cellStyle name="Currency_HRGLASS (2)" xfId="61"/>
    <cellStyle name="Currency_MEMO" xfId="62"/>
    <cellStyle name="Currency_TF_FY" xfId="63"/>
    <cellStyle name="Hyperlink" xfId="64"/>
    <cellStyle name="Normal_A" xfId="65"/>
    <cellStyle name="Normal_AA" xfId="66"/>
    <cellStyle name="Normal_AA_CHART" xfId="67"/>
    <cellStyle name="Normal_AA_SCHDT" xfId="68"/>
    <cellStyle name="Normal_ALT. ASSETS" xfId="69"/>
    <cellStyle name="Normal_Anchor" xfId="70"/>
    <cellStyle name="Normal_Asset Allocation" xfId="71"/>
    <cellStyle name="Normal_AT&amp;RT_A" xfId="72"/>
    <cellStyle name="Normal_ATSUMM" xfId="73"/>
    <cellStyle name="Normal_CLEV_INC" xfId="74"/>
    <cellStyle name="Normal_Cover Page" xfId="75"/>
    <cellStyle name="Normal_Custom" xfId="76"/>
    <cellStyle name="Normal_Data" xfId="77"/>
    <cellStyle name="Normal_DISTRMD" xfId="78"/>
    <cellStyle name="Normal_Dollar Values" xfId="79"/>
    <cellStyle name="Normal_ENDOW" xfId="80"/>
    <cellStyle name="Normal_EVTARBMD" xfId="81"/>
    <cellStyle name="Normal_Exhibit 21" xfId="82"/>
    <cellStyle name="Normal_FIARBMD" xfId="83"/>
    <cellStyle name="Normal_Fresh Foundation AA" xfId="84"/>
    <cellStyle name="Normal_Fresh Foundation Perf." xfId="85"/>
    <cellStyle name="Normal_FRONTQTR" xfId="86"/>
    <cellStyle name="Normal_GLMCHFMD" xfId="87"/>
    <cellStyle name="Normal_HBR_EQ" xfId="88"/>
    <cellStyle name="Normal_INVESTMENTS" xfId="89"/>
    <cellStyle name="Normal_IRA401K" xfId="90"/>
    <cellStyle name="Normal_Korea Analysis" xfId="91"/>
    <cellStyle name="Normal_MBA Investment Calculator" xfId="92"/>
    <cellStyle name="Normal_Mgr. AACR StDev. Exhibit" xfId="93"/>
    <cellStyle name="Normal_Misc Totals" xfId="94"/>
    <cellStyle name="Normal_NET EQUITY" xfId="95"/>
    <cellStyle name="Normal_NET FIXED INCOME" xfId="96"/>
    <cellStyle name="Normal_New IRS (use this)" xfId="97"/>
    <cellStyle name="Normal_Pie Chart" xfId="98"/>
    <cellStyle name="Normal_Pie Charts" xfId="99"/>
    <cellStyle name="Normal_PRCIP_GR" xfId="100"/>
    <cellStyle name="Normal_PRI_GR" xfId="101"/>
    <cellStyle name="Normal_PRIN_GRO" xfId="102"/>
    <cellStyle name="Normal_RECM87" xfId="103"/>
    <cellStyle name="Normal_RECUM" xfId="104"/>
    <cellStyle name="Normal_RERANK" xfId="105"/>
    <cellStyle name="Normal_Risk Return Exhibit" xfId="106"/>
    <cellStyle name="Normal_Russia Analysis" xfId="107"/>
    <cellStyle name="Normal_Sheet1" xfId="108"/>
    <cellStyle name="Normal_Sheet4" xfId="109"/>
    <cellStyle name="Normal_SHSELLMD" xfId="110"/>
    <cellStyle name="Normal_SMCO90" xfId="111"/>
    <cellStyle name="Normal_SMT_GR" xfId="112"/>
    <cellStyle name="Normal_SMT_VAL" xfId="113"/>
    <cellStyle name="Normal_TF" xfId="114"/>
    <cellStyle name="Normal_TF_FY" xfId="115"/>
    <cellStyle name="Normal_TF_FY_1" xfId="116"/>
    <cellStyle name="Normal_TF_PERF" xfId="117"/>
    <cellStyle name="Normal_TOTAL" xfId="118"/>
    <cellStyle name="Normal_Total Portfolio" xfId="119"/>
    <cellStyle name="Percent" xfId="1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6"/>
  <sheetViews>
    <sheetView tabSelected="1" zoomScale="94" zoomScaleNormal="94" workbookViewId="0" topLeftCell="A1">
      <selection activeCell="A1" sqref="A1"/>
    </sheetView>
  </sheetViews>
  <sheetFormatPr defaultColWidth="9.33203125" defaultRowHeight="12.75"/>
  <cols>
    <col min="1" max="1" width="9.66015625" style="1" customWidth="1"/>
    <col min="2" max="2" width="9.33203125" style="1" customWidth="1"/>
    <col min="3" max="3" width="6.83203125" style="1" customWidth="1"/>
    <col min="4" max="4" width="11.83203125" style="1" customWidth="1"/>
    <col min="5" max="7" width="10.16015625" style="1" customWidth="1"/>
    <col min="8" max="8" width="10.83203125" style="1" customWidth="1"/>
    <col min="9" max="10" width="10.16015625" style="1" customWidth="1"/>
    <col min="11" max="11" width="10.33203125" style="1" customWidth="1"/>
    <col min="12" max="13" width="10.66015625" style="1" customWidth="1"/>
    <col min="14" max="23" width="10.83203125" style="1" customWidth="1"/>
    <col min="24" max="38" width="12.83203125" style="1" customWidth="1"/>
    <col min="39" max="16384" width="9.33203125" style="1" customWidth="1"/>
  </cols>
  <sheetData>
    <row r="1" spans="1:15" ht="12" customHeight="1" thickBot="1">
      <c r="A1" s="23" t="s">
        <v>32</v>
      </c>
      <c r="E1" s="24" t="s">
        <v>33</v>
      </c>
      <c r="G1" s="25" t="s">
        <v>34</v>
      </c>
      <c r="H1" s="15" t="s">
        <v>35</v>
      </c>
      <c r="I1" s="15" t="s">
        <v>36</v>
      </c>
      <c r="J1" s="26">
        <v>2</v>
      </c>
      <c r="L1" s="25" t="s">
        <v>88</v>
      </c>
      <c r="M1" s="15" t="s">
        <v>82</v>
      </c>
      <c r="N1" s="15" t="s">
        <v>83</v>
      </c>
      <c r="O1" s="71">
        <f>J1</f>
        <v>2</v>
      </c>
    </row>
    <row r="2" spans="1:15" ht="12" customHeight="1">
      <c r="A2" s="1" t="s">
        <v>37</v>
      </c>
      <c r="D2" s="82">
        <v>150000</v>
      </c>
      <c r="E2" s="28">
        <v>0.08</v>
      </c>
      <c r="G2" s="29" t="s">
        <v>38</v>
      </c>
      <c r="H2" s="30">
        <v>43050</v>
      </c>
      <c r="I2" s="30">
        <v>25570</v>
      </c>
      <c r="J2" s="30">
        <f>IF($J$1=1,H2,I2)</f>
        <v>25570</v>
      </c>
      <c r="L2" s="29" t="s">
        <v>45</v>
      </c>
      <c r="M2" s="30">
        <v>158550</v>
      </c>
      <c r="N2" s="30">
        <v>130250</v>
      </c>
      <c r="O2" s="30">
        <f>IF($J$1=1,M2,N2)</f>
        <v>130250</v>
      </c>
    </row>
    <row r="3" spans="1:15" ht="12" customHeight="1">
      <c r="A3" s="1" t="s">
        <v>39</v>
      </c>
      <c r="D3" s="82">
        <v>30000</v>
      </c>
      <c r="E3" s="28">
        <v>0.025</v>
      </c>
      <c r="G3" s="29" t="s">
        <v>41</v>
      </c>
      <c r="H3" s="32">
        <v>0.15</v>
      </c>
      <c r="I3" s="32">
        <v>0.15</v>
      </c>
      <c r="J3" s="32">
        <f>IF($J$1=1,H3,I3)</f>
        <v>0.15</v>
      </c>
      <c r="L3" s="29" t="s">
        <v>46</v>
      </c>
      <c r="M3" s="32">
        <v>0.31</v>
      </c>
      <c r="N3" s="32">
        <v>0.31</v>
      </c>
      <c r="O3" s="32">
        <f>IF($J$1=1,M3,N3)</f>
        <v>0.31</v>
      </c>
    </row>
    <row r="4" spans="1:15" ht="12" customHeight="1">
      <c r="A4" s="1" t="s">
        <v>42</v>
      </c>
      <c r="D4" s="27">
        <v>10000</v>
      </c>
      <c r="E4" s="28">
        <v>0.03</v>
      </c>
      <c r="G4" s="29" t="s">
        <v>43</v>
      </c>
      <c r="H4" s="30">
        <v>104050</v>
      </c>
      <c r="I4" s="30">
        <v>62450</v>
      </c>
      <c r="J4" s="30">
        <f>IF($J$1=1,H4,I4)</f>
        <v>62450</v>
      </c>
      <c r="L4" s="29" t="s">
        <v>47</v>
      </c>
      <c r="M4" s="32">
        <v>0.36</v>
      </c>
      <c r="N4" s="32">
        <v>0.36</v>
      </c>
      <c r="O4" s="32">
        <f>IF($J$1=1,M4,N4)</f>
        <v>0.36</v>
      </c>
    </row>
    <row r="5" spans="1:10" ht="12" customHeight="1">
      <c r="A5" s="1" t="s">
        <v>49</v>
      </c>
      <c r="D5" s="27">
        <v>0</v>
      </c>
      <c r="G5" s="29" t="s">
        <v>44</v>
      </c>
      <c r="H5" s="32">
        <v>0.28</v>
      </c>
      <c r="I5" s="32">
        <v>0.28</v>
      </c>
      <c r="J5" s="32">
        <f>IF($J$1=1,H5,I5)</f>
        <v>0.28</v>
      </c>
    </row>
    <row r="6" spans="1:9" ht="12" customHeight="1">
      <c r="A6" s="1" t="s">
        <v>40</v>
      </c>
      <c r="D6" s="31">
        <v>27</v>
      </c>
      <c r="G6" s="77" t="s">
        <v>84</v>
      </c>
      <c r="H6" s="17"/>
      <c r="I6" s="78"/>
    </row>
    <row r="7" ht="7.5" customHeight="1">
      <c r="D7" s="31"/>
    </row>
    <row r="8" spans="4:38" ht="12" customHeight="1">
      <c r="D8" s="33">
        <f>D6</f>
        <v>27</v>
      </c>
      <c r="E8" s="33">
        <f aca="true" t="shared" si="0" ref="E8:AL8">D8+1</f>
        <v>28</v>
      </c>
      <c r="F8" s="33">
        <f t="shared" si="0"/>
        <v>29</v>
      </c>
      <c r="G8" s="33">
        <f t="shared" si="0"/>
        <v>30</v>
      </c>
      <c r="H8" s="33">
        <f t="shared" si="0"/>
        <v>31</v>
      </c>
      <c r="I8" s="33">
        <f t="shared" si="0"/>
        <v>32</v>
      </c>
      <c r="J8" s="33">
        <f t="shared" si="0"/>
        <v>33</v>
      </c>
      <c r="K8" s="33">
        <f t="shared" si="0"/>
        <v>34</v>
      </c>
      <c r="L8" s="33">
        <f t="shared" si="0"/>
        <v>35</v>
      </c>
      <c r="M8" s="33">
        <f t="shared" si="0"/>
        <v>36</v>
      </c>
      <c r="N8" s="33">
        <f t="shared" si="0"/>
        <v>37</v>
      </c>
      <c r="O8" s="33">
        <f t="shared" si="0"/>
        <v>38</v>
      </c>
      <c r="P8" s="33">
        <f t="shared" si="0"/>
        <v>39</v>
      </c>
      <c r="Q8" s="33">
        <f t="shared" si="0"/>
        <v>40</v>
      </c>
      <c r="R8" s="33">
        <f t="shared" si="0"/>
        <v>41</v>
      </c>
      <c r="S8" s="33">
        <f t="shared" si="0"/>
        <v>42</v>
      </c>
      <c r="T8" s="33">
        <f t="shared" si="0"/>
        <v>43</v>
      </c>
      <c r="U8" s="33">
        <f t="shared" si="0"/>
        <v>44</v>
      </c>
      <c r="V8" s="33">
        <f t="shared" si="0"/>
        <v>45</v>
      </c>
      <c r="W8" s="33">
        <f t="shared" si="0"/>
        <v>46</v>
      </c>
      <c r="X8" s="33">
        <f t="shared" si="0"/>
        <v>47</v>
      </c>
      <c r="Y8" s="33">
        <f t="shared" si="0"/>
        <v>48</v>
      </c>
      <c r="Z8" s="33">
        <f t="shared" si="0"/>
        <v>49</v>
      </c>
      <c r="AA8" s="33">
        <f t="shared" si="0"/>
        <v>50</v>
      </c>
      <c r="AB8" s="33">
        <f t="shared" si="0"/>
        <v>51</v>
      </c>
      <c r="AC8" s="33">
        <f t="shared" si="0"/>
        <v>52</v>
      </c>
      <c r="AD8" s="33">
        <f t="shared" si="0"/>
        <v>53</v>
      </c>
      <c r="AE8" s="33">
        <f t="shared" si="0"/>
        <v>54</v>
      </c>
      <c r="AF8" s="33">
        <f t="shared" si="0"/>
        <v>55</v>
      </c>
      <c r="AG8" s="33">
        <f t="shared" si="0"/>
        <v>56</v>
      </c>
      <c r="AH8" s="33">
        <f t="shared" si="0"/>
        <v>57</v>
      </c>
      <c r="AI8" s="33">
        <f t="shared" si="0"/>
        <v>58</v>
      </c>
      <c r="AJ8" s="33">
        <f t="shared" si="0"/>
        <v>59</v>
      </c>
      <c r="AK8" s="33">
        <f t="shared" si="0"/>
        <v>60</v>
      </c>
      <c r="AL8" s="33">
        <f t="shared" si="0"/>
        <v>61</v>
      </c>
    </row>
    <row r="9" spans="4:38" ht="12" customHeight="1">
      <c r="D9" s="34">
        <v>2000</v>
      </c>
      <c r="E9" s="34">
        <f aca="true" t="shared" si="1" ref="E9:AL9">D9+1</f>
        <v>2001</v>
      </c>
      <c r="F9" s="34">
        <f t="shared" si="1"/>
        <v>2002</v>
      </c>
      <c r="G9" s="34">
        <f t="shared" si="1"/>
        <v>2003</v>
      </c>
      <c r="H9" s="34">
        <f t="shared" si="1"/>
        <v>2004</v>
      </c>
      <c r="I9" s="34">
        <f t="shared" si="1"/>
        <v>2005</v>
      </c>
      <c r="J9" s="34">
        <f t="shared" si="1"/>
        <v>2006</v>
      </c>
      <c r="K9" s="34">
        <f t="shared" si="1"/>
        <v>2007</v>
      </c>
      <c r="L9" s="34">
        <f t="shared" si="1"/>
        <v>2008</v>
      </c>
      <c r="M9" s="34">
        <f t="shared" si="1"/>
        <v>2009</v>
      </c>
      <c r="N9" s="34">
        <f t="shared" si="1"/>
        <v>2010</v>
      </c>
      <c r="O9" s="34">
        <f t="shared" si="1"/>
        <v>2011</v>
      </c>
      <c r="P9" s="34">
        <f t="shared" si="1"/>
        <v>2012</v>
      </c>
      <c r="Q9" s="34">
        <f t="shared" si="1"/>
        <v>2013</v>
      </c>
      <c r="R9" s="34">
        <f t="shared" si="1"/>
        <v>2014</v>
      </c>
      <c r="S9" s="34">
        <f t="shared" si="1"/>
        <v>2015</v>
      </c>
      <c r="T9" s="34">
        <f t="shared" si="1"/>
        <v>2016</v>
      </c>
      <c r="U9" s="34">
        <f t="shared" si="1"/>
        <v>2017</v>
      </c>
      <c r="V9" s="34">
        <f t="shared" si="1"/>
        <v>2018</v>
      </c>
      <c r="W9" s="34">
        <f t="shared" si="1"/>
        <v>2019</v>
      </c>
      <c r="X9" s="34">
        <f t="shared" si="1"/>
        <v>2020</v>
      </c>
      <c r="Y9" s="34">
        <f t="shared" si="1"/>
        <v>2021</v>
      </c>
      <c r="Z9" s="34">
        <f t="shared" si="1"/>
        <v>2022</v>
      </c>
      <c r="AA9" s="34">
        <f t="shared" si="1"/>
        <v>2023</v>
      </c>
      <c r="AB9" s="34">
        <f t="shared" si="1"/>
        <v>2024</v>
      </c>
      <c r="AC9" s="34">
        <f t="shared" si="1"/>
        <v>2025</v>
      </c>
      <c r="AD9" s="34">
        <f t="shared" si="1"/>
        <v>2026</v>
      </c>
      <c r="AE9" s="34">
        <f t="shared" si="1"/>
        <v>2027</v>
      </c>
      <c r="AF9" s="34">
        <f t="shared" si="1"/>
        <v>2028</v>
      </c>
      <c r="AG9" s="34">
        <f t="shared" si="1"/>
        <v>2029</v>
      </c>
      <c r="AH9" s="34">
        <f t="shared" si="1"/>
        <v>2030</v>
      </c>
      <c r="AI9" s="34">
        <f t="shared" si="1"/>
        <v>2031</v>
      </c>
      <c r="AJ9" s="34">
        <f t="shared" si="1"/>
        <v>2032</v>
      </c>
      <c r="AK9" s="34">
        <f t="shared" si="1"/>
        <v>2033</v>
      </c>
      <c r="AL9" s="34">
        <f t="shared" si="1"/>
        <v>2034</v>
      </c>
    </row>
    <row r="10" spans="1:38" ht="12.75">
      <c r="A10" s="1" t="s">
        <v>48</v>
      </c>
      <c r="D10" s="35">
        <f>D2</f>
        <v>150000</v>
      </c>
      <c r="E10" s="35">
        <f aca="true" t="shared" si="2" ref="E10:AL10">D10*(1+$E$2)</f>
        <v>162000</v>
      </c>
      <c r="F10" s="35">
        <f t="shared" si="2"/>
        <v>174960</v>
      </c>
      <c r="G10" s="35">
        <f t="shared" si="2"/>
        <v>188956.80000000002</v>
      </c>
      <c r="H10" s="35">
        <f t="shared" si="2"/>
        <v>204073.34400000004</v>
      </c>
      <c r="I10" s="35">
        <f t="shared" si="2"/>
        <v>220399.21152000007</v>
      </c>
      <c r="J10" s="35">
        <f t="shared" si="2"/>
        <v>238031.1484416001</v>
      </c>
      <c r="K10" s="35">
        <f t="shared" si="2"/>
        <v>257073.64031692813</v>
      </c>
      <c r="L10" s="35">
        <f t="shared" si="2"/>
        <v>277639.5315422824</v>
      </c>
      <c r="M10" s="35">
        <f t="shared" si="2"/>
        <v>299850.694065665</v>
      </c>
      <c r="N10" s="35">
        <f t="shared" si="2"/>
        <v>323838.74959091825</v>
      </c>
      <c r="O10" s="35">
        <f t="shared" si="2"/>
        <v>349745.8495581917</v>
      </c>
      <c r="P10" s="35">
        <f t="shared" si="2"/>
        <v>377725.5175228471</v>
      </c>
      <c r="Q10" s="35">
        <f t="shared" si="2"/>
        <v>407943.55892467493</v>
      </c>
      <c r="R10" s="35">
        <f t="shared" si="2"/>
        <v>440579.04363864893</v>
      </c>
      <c r="S10" s="35">
        <f t="shared" si="2"/>
        <v>475825.3671297409</v>
      </c>
      <c r="T10" s="35">
        <f t="shared" si="2"/>
        <v>513891.3965001202</v>
      </c>
      <c r="U10" s="35">
        <f t="shared" si="2"/>
        <v>555002.7082201298</v>
      </c>
      <c r="V10" s="35">
        <f t="shared" si="2"/>
        <v>599402.9248777402</v>
      </c>
      <c r="W10" s="35">
        <f t="shared" si="2"/>
        <v>647355.1588679595</v>
      </c>
      <c r="X10" s="35">
        <f t="shared" si="2"/>
        <v>699143.5715773964</v>
      </c>
      <c r="Y10" s="35">
        <f t="shared" si="2"/>
        <v>755075.0573035881</v>
      </c>
      <c r="Z10" s="35">
        <f t="shared" si="2"/>
        <v>815481.0618878752</v>
      </c>
      <c r="AA10" s="35">
        <f t="shared" si="2"/>
        <v>880719.5468389053</v>
      </c>
      <c r="AB10" s="35">
        <f t="shared" si="2"/>
        <v>951177.1105860178</v>
      </c>
      <c r="AC10" s="35">
        <f t="shared" si="2"/>
        <v>1027271.2794328993</v>
      </c>
      <c r="AD10" s="35">
        <f t="shared" si="2"/>
        <v>1109452.9817875314</v>
      </c>
      <c r="AE10" s="35">
        <f t="shared" si="2"/>
        <v>1198209.220330534</v>
      </c>
      <c r="AF10" s="35">
        <f t="shared" si="2"/>
        <v>1294065.957956977</v>
      </c>
      <c r="AG10" s="35">
        <f t="shared" si="2"/>
        <v>1397591.2345935353</v>
      </c>
      <c r="AH10" s="35">
        <f t="shared" si="2"/>
        <v>1509398.5333610182</v>
      </c>
      <c r="AI10" s="35">
        <f t="shared" si="2"/>
        <v>1630150.4160298998</v>
      </c>
      <c r="AJ10" s="35">
        <f t="shared" si="2"/>
        <v>1760562.449312292</v>
      </c>
      <c r="AK10" s="35">
        <f t="shared" si="2"/>
        <v>1901407.4452572756</v>
      </c>
      <c r="AL10" s="35">
        <f t="shared" si="2"/>
        <v>2053520.0408778577</v>
      </c>
    </row>
    <row r="11" spans="1:38" ht="12.75">
      <c r="A11" s="1" t="s">
        <v>39</v>
      </c>
      <c r="D11" s="35">
        <f>D3</f>
        <v>30000</v>
      </c>
      <c r="E11" s="35">
        <f aca="true" t="shared" si="3" ref="E11:AL11">D11*(1+$E$3)</f>
        <v>30749.999999999996</v>
      </c>
      <c r="F11" s="35">
        <f t="shared" si="3"/>
        <v>31518.749999999993</v>
      </c>
      <c r="G11" s="35">
        <f t="shared" si="3"/>
        <v>32306.71874999999</v>
      </c>
      <c r="H11" s="35">
        <f t="shared" si="3"/>
        <v>33114.386718749985</v>
      </c>
      <c r="I11" s="35">
        <f t="shared" si="3"/>
        <v>33942.24638671873</v>
      </c>
      <c r="J11" s="35">
        <f t="shared" si="3"/>
        <v>34790.802546386694</v>
      </c>
      <c r="K11" s="35">
        <f t="shared" si="3"/>
        <v>35660.57261004636</v>
      </c>
      <c r="L11" s="35">
        <f t="shared" si="3"/>
        <v>36552.08692529752</v>
      </c>
      <c r="M11" s="35">
        <f t="shared" si="3"/>
        <v>37465.88909842995</v>
      </c>
      <c r="N11" s="35">
        <f t="shared" si="3"/>
        <v>38402.536325890695</v>
      </c>
      <c r="O11" s="35">
        <f t="shared" si="3"/>
        <v>39362.59973403796</v>
      </c>
      <c r="P11" s="35">
        <f t="shared" si="3"/>
        <v>40346.66472738891</v>
      </c>
      <c r="Q11" s="35">
        <f t="shared" si="3"/>
        <v>41355.33134557363</v>
      </c>
      <c r="R11" s="35">
        <f t="shared" si="3"/>
        <v>42389.21462921296</v>
      </c>
      <c r="S11" s="35">
        <f t="shared" si="3"/>
        <v>43448.94499494328</v>
      </c>
      <c r="T11" s="35">
        <f t="shared" si="3"/>
        <v>44535.16861981686</v>
      </c>
      <c r="U11" s="35">
        <f t="shared" si="3"/>
        <v>45648.54783531228</v>
      </c>
      <c r="V11" s="35">
        <f t="shared" si="3"/>
        <v>46789.76153119509</v>
      </c>
      <c r="W11" s="35">
        <f t="shared" si="3"/>
        <v>47959.50556947496</v>
      </c>
      <c r="X11" s="35">
        <f t="shared" si="3"/>
        <v>49158.49320871183</v>
      </c>
      <c r="Y11" s="35">
        <f t="shared" si="3"/>
        <v>50387.45553892962</v>
      </c>
      <c r="Z11" s="35">
        <f t="shared" si="3"/>
        <v>51647.14192740286</v>
      </c>
      <c r="AA11" s="35">
        <f t="shared" si="3"/>
        <v>52938.32047558793</v>
      </c>
      <c r="AB11" s="35">
        <f t="shared" si="3"/>
        <v>54261.77848747762</v>
      </c>
      <c r="AC11" s="35">
        <f t="shared" si="3"/>
        <v>55618.32294966456</v>
      </c>
      <c r="AD11" s="35">
        <f t="shared" si="3"/>
        <v>57008.78102340617</v>
      </c>
      <c r="AE11" s="35">
        <f t="shared" si="3"/>
        <v>58434.00054899132</v>
      </c>
      <c r="AF11" s="35">
        <f t="shared" si="3"/>
        <v>59894.85056271609</v>
      </c>
      <c r="AG11" s="35">
        <f t="shared" si="3"/>
        <v>61392.22182678399</v>
      </c>
      <c r="AH11" s="35">
        <f t="shared" si="3"/>
        <v>62927.02737245359</v>
      </c>
      <c r="AI11" s="35">
        <f t="shared" si="3"/>
        <v>64500.20305676492</v>
      </c>
      <c r="AJ11" s="35">
        <f t="shared" si="3"/>
        <v>66112.70813318403</v>
      </c>
      <c r="AK11" s="35">
        <f t="shared" si="3"/>
        <v>67765.52583651363</v>
      </c>
      <c r="AL11" s="35">
        <f t="shared" si="3"/>
        <v>69459.66398242646</v>
      </c>
    </row>
    <row r="12" spans="1:38" ht="12.75">
      <c r="A12" s="1" t="s">
        <v>49</v>
      </c>
      <c r="D12" s="35">
        <f>D5</f>
        <v>0</v>
      </c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</row>
    <row r="13" spans="1:38" s="22" customFormat="1" ht="12.75">
      <c r="A13" s="36" t="s">
        <v>50</v>
      </c>
      <c r="B13" s="37"/>
      <c r="C13" s="37"/>
      <c r="D13" s="38">
        <f>SUM(D10:D12)</f>
        <v>180000</v>
      </c>
      <c r="E13" s="38">
        <f aca="true" t="shared" si="4" ref="E13:AL13">SUM(E10:E11)</f>
        <v>192750</v>
      </c>
      <c r="F13" s="38">
        <f t="shared" si="4"/>
        <v>206478.75</v>
      </c>
      <c r="G13" s="38">
        <f t="shared" si="4"/>
        <v>221263.51875000002</v>
      </c>
      <c r="H13" s="38">
        <f t="shared" si="4"/>
        <v>237187.73071875004</v>
      </c>
      <c r="I13" s="38">
        <f t="shared" si="4"/>
        <v>254341.4579067188</v>
      </c>
      <c r="J13" s="38">
        <f t="shared" si="4"/>
        <v>272821.95098798675</v>
      </c>
      <c r="K13" s="38">
        <f t="shared" si="4"/>
        <v>292734.21292697446</v>
      </c>
      <c r="L13" s="38">
        <f t="shared" si="4"/>
        <v>314191.6184675799</v>
      </c>
      <c r="M13" s="38">
        <f t="shared" si="4"/>
        <v>337316.58316409495</v>
      </c>
      <c r="N13" s="38">
        <f t="shared" si="4"/>
        <v>362241.28591680893</v>
      </c>
      <c r="O13" s="38">
        <f t="shared" si="4"/>
        <v>389108.44929222966</v>
      </c>
      <c r="P13" s="38">
        <f t="shared" si="4"/>
        <v>418072.18225023604</v>
      </c>
      <c r="Q13" s="38">
        <f t="shared" si="4"/>
        <v>449298.8902702486</v>
      </c>
      <c r="R13" s="38">
        <f t="shared" si="4"/>
        <v>482968.2582678619</v>
      </c>
      <c r="S13" s="38">
        <f t="shared" si="4"/>
        <v>519274.31212468416</v>
      </c>
      <c r="T13" s="38">
        <f t="shared" si="4"/>
        <v>558426.5651199371</v>
      </c>
      <c r="U13" s="38">
        <f t="shared" si="4"/>
        <v>600651.2560554422</v>
      </c>
      <c r="V13" s="38">
        <f t="shared" si="4"/>
        <v>646192.6864089353</v>
      </c>
      <c r="W13" s="38">
        <f t="shared" si="4"/>
        <v>695314.6644374345</v>
      </c>
      <c r="X13" s="38">
        <f t="shared" si="4"/>
        <v>748302.0647861082</v>
      </c>
      <c r="Y13" s="38">
        <f t="shared" si="4"/>
        <v>805462.5128425178</v>
      </c>
      <c r="Z13" s="38">
        <f t="shared" si="4"/>
        <v>867128.203815278</v>
      </c>
      <c r="AA13" s="38">
        <f t="shared" si="4"/>
        <v>933657.8673144933</v>
      </c>
      <c r="AB13" s="38">
        <f t="shared" si="4"/>
        <v>1005438.8890734954</v>
      </c>
      <c r="AC13" s="38">
        <f t="shared" si="4"/>
        <v>1082889.602382564</v>
      </c>
      <c r="AD13" s="38">
        <f t="shared" si="4"/>
        <v>1166461.7628109376</v>
      </c>
      <c r="AE13" s="38">
        <f t="shared" si="4"/>
        <v>1256643.2208795254</v>
      </c>
      <c r="AF13" s="38">
        <f t="shared" si="4"/>
        <v>1353960.808519693</v>
      </c>
      <c r="AG13" s="38">
        <f t="shared" si="4"/>
        <v>1458983.4564203194</v>
      </c>
      <c r="AH13" s="38">
        <f t="shared" si="4"/>
        <v>1572325.5607334718</v>
      </c>
      <c r="AI13" s="38">
        <f t="shared" si="4"/>
        <v>1694650.6190866649</v>
      </c>
      <c r="AJ13" s="38">
        <f t="shared" si="4"/>
        <v>1826675.1574454762</v>
      </c>
      <c r="AK13" s="38">
        <f t="shared" si="4"/>
        <v>1969172.9710937892</v>
      </c>
      <c r="AL13" s="39">
        <f t="shared" si="4"/>
        <v>2122979.704860284</v>
      </c>
    </row>
    <row r="14" ht="6" customHeight="1"/>
    <row r="15" spans="1:38" ht="12" customHeight="1">
      <c r="A15" s="1" t="s">
        <v>51</v>
      </c>
      <c r="C15" s="40">
        <v>0.15</v>
      </c>
      <c r="D15" s="35">
        <f>IF((D10*$C$15)&gt;$D$4,$D$4,($C$15*D10))</f>
        <v>10000</v>
      </c>
      <c r="E15" s="35">
        <f aca="true" t="shared" si="5" ref="E15:AL15">IF((E10*$C$15)&gt;$D$4*((1+$E$4)^(E9-2000)),$D$4*((1+$E$4)^(E9-2000)),($C$15*E10))</f>
        <v>10300</v>
      </c>
      <c r="F15" s="35">
        <f t="shared" si="5"/>
        <v>10609</v>
      </c>
      <c r="G15" s="35">
        <f t="shared" si="5"/>
        <v>10927.27</v>
      </c>
      <c r="H15" s="35">
        <f t="shared" si="5"/>
        <v>11255.088099999999</v>
      </c>
      <c r="I15" s="35">
        <f t="shared" si="5"/>
        <v>11592.740742999998</v>
      </c>
      <c r="J15" s="35">
        <f t="shared" si="5"/>
        <v>11940.52296529</v>
      </c>
      <c r="K15" s="35">
        <f t="shared" si="5"/>
        <v>12298.7386542487</v>
      </c>
      <c r="L15" s="35">
        <f t="shared" si="5"/>
        <v>12667.70081387616</v>
      </c>
      <c r="M15" s="35">
        <f t="shared" si="5"/>
        <v>13047.731838292444</v>
      </c>
      <c r="N15" s="35">
        <f t="shared" si="5"/>
        <v>13439.163793441217</v>
      </c>
      <c r="O15" s="35">
        <f t="shared" si="5"/>
        <v>13842.338707244455</v>
      </c>
      <c r="P15" s="35">
        <f t="shared" si="5"/>
        <v>14257.608868461786</v>
      </c>
      <c r="Q15" s="35">
        <f t="shared" si="5"/>
        <v>14685.33713451564</v>
      </c>
      <c r="R15" s="35">
        <f t="shared" si="5"/>
        <v>15125.89724855111</v>
      </c>
      <c r="S15" s="35">
        <f t="shared" si="5"/>
        <v>15579.674166007644</v>
      </c>
      <c r="T15" s="35">
        <f t="shared" si="5"/>
        <v>16047.06439098787</v>
      </c>
      <c r="U15" s="35">
        <f t="shared" si="5"/>
        <v>16528.476322717506</v>
      </c>
      <c r="V15" s="35">
        <f t="shared" si="5"/>
        <v>17024.330612399033</v>
      </c>
      <c r="W15" s="35">
        <f t="shared" si="5"/>
        <v>17535.060530771003</v>
      </c>
      <c r="X15" s="35">
        <f t="shared" si="5"/>
        <v>18061.11234669413</v>
      </c>
      <c r="Y15" s="35">
        <f t="shared" si="5"/>
        <v>18602.945717094954</v>
      </c>
      <c r="Z15" s="35">
        <f t="shared" si="5"/>
        <v>19161.034088607805</v>
      </c>
      <c r="AA15" s="35">
        <f t="shared" si="5"/>
        <v>19735.86511126604</v>
      </c>
      <c r="AB15" s="35">
        <f t="shared" si="5"/>
        <v>20327.94106460402</v>
      </c>
      <c r="AC15" s="35">
        <f t="shared" si="5"/>
        <v>20937.77929654214</v>
      </c>
      <c r="AD15" s="35">
        <f t="shared" si="5"/>
        <v>21565.912675438405</v>
      </c>
      <c r="AE15" s="35">
        <f t="shared" si="5"/>
        <v>22212.890055701555</v>
      </c>
      <c r="AF15" s="35">
        <f t="shared" si="5"/>
        <v>22879.2767573726</v>
      </c>
      <c r="AG15" s="35">
        <f t="shared" si="5"/>
        <v>23565.655060093777</v>
      </c>
      <c r="AH15" s="35">
        <f t="shared" si="5"/>
        <v>24272.62471189659</v>
      </c>
      <c r="AI15" s="35">
        <f t="shared" si="5"/>
        <v>25000.80345325349</v>
      </c>
      <c r="AJ15" s="35">
        <f t="shared" si="5"/>
        <v>25750.82755685109</v>
      </c>
      <c r="AK15" s="35">
        <f t="shared" si="5"/>
        <v>26523.352383556627</v>
      </c>
      <c r="AL15" s="35">
        <f t="shared" si="5"/>
        <v>27319.052955063322</v>
      </c>
    </row>
    <row r="16" spans="1:38" ht="12" customHeight="1">
      <c r="A16" s="16" t="s">
        <v>52</v>
      </c>
      <c r="B16" s="17"/>
      <c r="C16" s="17"/>
      <c r="D16" s="18">
        <f aca="true" t="shared" si="6" ref="D16:AL16">D13-D15</f>
        <v>170000</v>
      </c>
      <c r="E16" s="18">
        <f t="shared" si="6"/>
        <v>182450</v>
      </c>
      <c r="F16" s="18">
        <f t="shared" si="6"/>
        <v>195869.75</v>
      </c>
      <c r="G16" s="18">
        <f t="shared" si="6"/>
        <v>210336.24875000003</v>
      </c>
      <c r="H16" s="18">
        <f t="shared" si="6"/>
        <v>225932.64261875005</v>
      </c>
      <c r="I16" s="18">
        <f t="shared" si="6"/>
        <v>242748.7171637188</v>
      </c>
      <c r="J16" s="18">
        <f t="shared" si="6"/>
        <v>260881.42802269675</v>
      </c>
      <c r="K16" s="18">
        <f t="shared" si="6"/>
        <v>280435.47427272575</v>
      </c>
      <c r="L16" s="18">
        <f t="shared" si="6"/>
        <v>301523.9176537037</v>
      </c>
      <c r="M16" s="18">
        <f t="shared" si="6"/>
        <v>324268.8513258025</v>
      </c>
      <c r="N16" s="18">
        <f t="shared" si="6"/>
        <v>348802.12212336774</v>
      </c>
      <c r="O16" s="18">
        <f t="shared" si="6"/>
        <v>375266.11058498523</v>
      </c>
      <c r="P16" s="18">
        <f t="shared" si="6"/>
        <v>403814.57338177424</v>
      </c>
      <c r="Q16" s="18">
        <f t="shared" si="6"/>
        <v>434613.55313573295</v>
      </c>
      <c r="R16" s="18">
        <f t="shared" si="6"/>
        <v>467842.3610193108</v>
      </c>
      <c r="S16" s="18">
        <f t="shared" si="6"/>
        <v>503694.6379586765</v>
      </c>
      <c r="T16" s="18">
        <f t="shared" si="6"/>
        <v>542379.5007289492</v>
      </c>
      <c r="U16" s="18">
        <f t="shared" si="6"/>
        <v>584122.7797327247</v>
      </c>
      <c r="V16" s="18">
        <f t="shared" si="6"/>
        <v>629168.3557965363</v>
      </c>
      <c r="W16" s="18">
        <f t="shared" si="6"/>
        <v>677779.6039066635</v>
      </c>
      <c r="X16" s="18">
        <f t="shared" si="6"/>
        <v>730240.9524394141</v>
      </c>
      <c r="Y16" s="18">
        <f t="shared" si="6"/>
        <v>786859.5671254229</v>
      </c>
      <c r="Z16" s="18">
        <f t="shared" si="6"/>
        <v>847967.1697266703</v>
      </c>
      <c r="AA16" s="18">
        <f t="shared" si="6"/>
        <v>913922.0022032273</v>
      </c>
      <c r="AB16" s="18">
        <f t="shared" si="6"/>
        <v>985110.9480088914</v>
      </c>
      <c r="AC16" s="18">
        <f t="shared" si="6"/>
        <v>1061951.823086022</v>
      </c>
      <c r="AD16" s="18">
        <f t="shared" si="6"/>
        <v>1144895.8501354991</v>
      </c>
      <c r="AE16" s="18">
        <f t="shared" si="6"/>
        <v>1234430.3308238238</v>
      </c>
      <c r="AF16" s="18">
        <f t="shared" si="6"/>
        <v>1331081.5317623205</v>
      </c>
      <c r="AG16" s="18">
        <f t="shared" si="6"/>
        <v>1435417.8013602255</v>
      </c>
      <c r="AH16" s="18">
        <f t="shared" si="6"/>
        <v>1548052.9360215752</v>
      </c>
      <c r="AI16" s="18">
        <f t="shared" si="6"/>
        <v>1669649.8156334113</v>
      </c>
      <c r="AJ16" s="18">
        <f t="shared" si="6"/>
        <v>1800924.329888625</v>
      </c>
      <c r="AK16" s="18">
        <f t="shared" si="6"/>
        <v>1942649.6187102327</v>
      </c>
      <c r="AL16" s="19">
        <f t="shared" si="6"/>
        <v>2095660.6519052207</v>
      </c>
    </row>
    <row r="17" ht="3.75" customHeight="1"/>
    <row r="18" spans="1:38" ht="12.75">
      <c r="A18" s="1" t="s">
        <v>53</v>
      </c>
      <c r="D18" s="35">
        <f aca="true" t="shared" si="7" ref="D18:AL18">IF(D16&gt;$J$2,$J$2*$J$3,D16*$J$3)</f>
        <v>3835.5</v>
      </c>
      <c r="E18" s="35">
        <f t="shared" si="7"/>
        <v>3835.5</v>
      </c>
      <c r="F18" s="35">
        <f t="shared" si="7"/>
        <v>3835.5</v>
      </c>
      <c r="G18" s="35">
        <f t="shared" si="7"/>
        <v>3835.5</v>
      </c>
      <c r="H18" s="35">
        <f t="shared" si="7"/>
        <v>3835.5</v>
      </c>
      <c r="I18" s="35">
        <f t="shared" si="7"/>
        <v>3835.5</v>
      </c>
      <c r="J18" s="35">
        <f t="shared" si="7"/>
        <v>3835.5</v>
      </c>
      <c r="K18" s="35">
        <f t="shared" si="7"/>
        <v>3835.5</v>
      </c>
      <c r="L18" s="35">
        <f t="shared" si="7"/>
        <v>3835.5</v>
      </c>
      <c r="M18" s="35">
        <f t="shared" si="7"/>
        <v>3835.5</v>
      </c>
      <c r="N18" s="35">
        <f t="shared" si="7"/>
        <v>3835.5</v>
      </c>
      <c r="O18" s="35">
        <f t="shared" si="7"/>
        <v>3835.5</v>
      </c>
      <c r="P18" s="35">
        <f t="shared" si="7"/>
        <v>3835.5</v>
      </c>
      <c r="Q18" s="35">
        <f t="shared" si="7"/>
        <v>3835.5</v>
      </c>
      <c r="R18" s="35">
        <f t="shared" si="7"/>
        <v>3835.5</v>
      </c>
      <c r="S18" s="35">
        <f t="shared" si="7"/>
        <v>3835.5</v>
      </c>
      <c r="T18" s="35">
        <f t="shared" si="7"/>
        <v>3835.5</v>
      </c>
      <c r="U18" s="35">
        <f t="shared" si="7"/>
        <v>3835.5</v>
      </c>
      <c r="V18" s="35">
        <f t="shared" si="7"/>
        <v>3835.5</v>
      </c>
      <c r="W18" s="35">
        <f t="shared" si="7"/>
        <v>3835.5</v>
      </c>
      <c r="X18" s="35">
        <f t="shared" si="7"/>
        <v>3835.5</v>
      </c>
      <c r="Y18" s="35">
        <f t="shared" si="7"/>
        <v>3835.5</v>
      </c>
      <c r="Z18" s="35">
        <f t="shared" si="7"/>
        <v>3835.5</v>
      </c>
      <c r="AA18" s="35">
        <f t="shared" si="7"/>
        <v>3835.5</v>
      </c>
      <c r="AB18" s="35">
        <f t="shared" si="7"/>
        <v>3835.5</v>
      </c>
      <c r="AC18" s="35">
        <f t="shared" si="7"/>
        <v>3835.5</v>
      </c>
      <c r="AD18" s="35">
        <f t="shared" si="7"/>
        <v>3835.5</v>
      </c>
      <c r="AE18" s="35">
        <f t="shared" si="7"/>
        <v>3835.5</v>
      </c>
      <c r="AF18" s="35">
        <f t="shared" si="7"/>
        <v>3835.5</v>
      </c>
      <c r="AG18" s="35">
        <f t="shared" si="7"/>
        <v>3835.5</v>
      </c>
      <c r="AH18" s="35">
        <f t="shared" si="7"/>
        <v>3835.5</v>
      </c>
      <c r="AI18" s="35">
        <f t="shared" si="7"/>
        <v>3835.5</v>
      </c>
      <c r="AJ18" s="35">
        <f t="shared" si="7"/>
        <v>3835.5</v>
      </c>
      <c r="AK18" s="35">
        <f t="shared" si="7"/>
        <v>3835.5</v>
      </c>
      <c r="AL18" s="35">
        <f t="shared" si="7"/>
        <v>3835.5</v>
      </c>
    </row>
    <row r="19" spans="1:38" ht="12.75">
      <c r="A19" s="1" t="s">
        <v>54</v>
      </c>
      <c r="D19" s="35">
        <f aca="true" t="shared" si="8" ref="D19:AL19">IF(D16&gt;$J$4,(($J$4-$J$2)*$J$5),((D16-$J$2)*$J$5))</f>
        <v>10326.400000000001</v>
      </c>
      <c r="E19" s="35">
        <f t="shared" si="8"/>
        <v>10326.400000000001</v>
      </c>
      <c r="F19" s="35">
        <f t="shared" si="8"/>
        <v>10326.400000000001</v>
      </c>
      <c r="G19" s="35">
        <f t="shared" si="8"/>
        <v>10326.400000000001</v>
      </c>
      <c r="H19" s="35">
        <f t="shared" si="8"/>
        <v>10326.400000000001</v>
      </c>
      <c r="I19" s="35">
        <f t="shared" si="8"/>
        <v>10326.400000000001</v>
      </c>
      <c r="J19" s="35">
        <f t="shared" si="8"/>
        <v>10326.400000000001</v>
      </c>
      <c r="K19" s="35">
        <f t="shared" si="8"/>
        <v>10326.400000000001</v>
      </c>
      <c r="L19" s="35">
        <f t="shared" si="8"/>
        <v>10326.400000000001</v>
      </c>
      <c r="M19" s="35">
        <f t="shared" si="8"/>
        <v>10326.400000000001</v>
      </c>
      <c r="N19" s="35">
        <f t="shared" si="8"/>
        <v>10326.400000000001</v>
      </c>
      <c r="O19" s="35">
        <f t="shared" si="8"/>
        <v>10326.400000000001</v>
      </c>
      <c r="P19" s="35">
        <f t="shared" si="8"/>
        <v>10326.400000000001</v>
      </c>
      <c r="Q19" s="35">
        <f t="shared" si="8"/>
        <v>10326.400000000001</v>
      </c>
      <c r="R19" s="35">
        <f t="shared" si="8"/>
        <v>10326.400000000001</v>
      </c>
      <c r="S19" s="35">
        <f t="shared" si="8"/>
        <v>10326.400000000001</v>
      </c>
      <c r="T19" s="35">
        <f t="shared" si="8"/>
        <v>10326.400000000001</v>
      </c>
      <c r="U19" s="35">
        <f t="shared" si="8"/>
        <v>10326.400000000001</v>
      </c>
      <c r="V19" s="35">
        <f t="shared" si="8"/>
        <v>10326.400000000001</v>
      </c>
      <c r="W19" s="35">
        <f t="shared" si="8"/>
        <v>10326.400000000001</v>
      </c>
      <c r="X19" s="35">
        <f t="shared" si="8"/>
        <v>10326.400000000001</v>
      </c>
      <c r="Y19" s="35">
        <f t="shared" si="8"/>
        <v>10326.400000000001</v>
      </c>
      <c r="Z19" s="35">
        <f t="shared" si="8"/>
        <v>10326.400000000001</v>
      </c>
      <c r="AA19" s="35">
        <f t="shared" si="8"/>
        <v>10326.400000000001</v>
      </c>
      <c r="AB19" s="35">
        <f t="shared" si="8"/>
        <v>10326.400000000001</v>
      </c>
      <c r="AC19" s="35">
        <f t="shared" si="8"/>
        <v>10326.400000000001</v>
      </c>
      <c r="AD19" s="35">
        <f t="shared" si="8"/>
        <v>10326.400000000001</v>
      </c>
      <c r="AE19" s="35">
        <f t="shared" si="8"/>
        <v>10326.400000000001</v>
      </c>
      <c r="AF19" s="35">
        <f t="shared" si="8"/>
        <v>10326.400000000001</v>
      </c>
      <c r="AG19" s="35">
        <f t="shared" si="8"/>
        <v>10326.400000000001</v>
      </c>
      <c r="AH19" s="35">
        <f t="shared" si="8"/>
        <v>10326.400000000001</v>
      </c>
      <c r="AI19" s="35">
        <f t="shared" si="8"/>
        <v>10326.400000000001</v>
      </c>
      <c r="AJ19" s="35">
        <f t="shared" si="8"/>
        <v>10326.400000000001</v>
      </c>
      <c r="AK19" s="35">
        <f t="shared" si="8"/>
        <v>10326.400000000001</v>
      </c>
      <c r="AL19" s="35">
        <f t="shared" si="8"/>
        <v>10326.400000000001</v>
      </c>
    </row>
    <row r="20" spans="1:38" ht="12.75">
      <c r="A20" s="1" t="s">
        <v>55</v>
      </c>
      <c r="D20" s="35">
        <f aca="true" t="shared" si="9" ref="D20:AL20">IF(D16&gt;$O$2,(($O$2-$J$4)*$O$3),((D16-$J$4)*$O$3))</f>
        <v>21018</v>
      </c>
      <c r="E20" s="35">
        <f t="shared" si="9"/>
        <v>21018</v>
      </c>
      <c r="F20" s="35">
        <f t="shared" si="9"/>
        <v>21018</v>
      </c>
      <c r="G20" s="35">
        <f t="shared" si="9"/>
        <v>21018</v>
      </c>
      <c r="H20" s="35">
        <f t="shared" si="9"/>
        <v>21018</v>
      </c>
      <c r="I20" s="35">
        <f t="shared" si="9"/>
        <v>21018</v>
      </c>
      <c r="J20" s="35">
        <f t="shared" si="9"/>
        <v>21018</v>
      </c>
      <c r="K20" s="35">
        <f t="shared" si="9"/>
        <v>21018</v>
      </c>
      <c r="L20" s="35">
        <f t="shared" si="9"/>
        <v>21018</v>
      </c>
      <c r="M20" s="35">
        <f t="shared" si="9"/>
        <v>21018</v>
      </c>
      <c r="N20" s="35">
        <f t="shared" si="9"/>
        <v>21018</v>
      </c>
      <c r="O20" s="35">
        <f t="shared" si="9"/>
        <v>21018</v>
      </c>
      <c r="P20" s="35">
        <f t="shared" si="9"/>
        <v>21018</v>
      </c>
      <c r="Q20" s="35">
        <f t="shared" si="9"/>
        <v>21018</v>
      </c>
      <c r="R20" s="35">
        <f t="shared" si="9"/>
        <v>21018</v>
      </c>
      <c r="S20" s="35">
        <f t="shared" si="9"/>
        <v>21018</v>
      </c>
      <c r="T20" s="35">
        <f t="shared" si="9"/>
        <v>21018</v>
      </c>
      <c r="U20" s="35">
        <f t="shared" si="9"/>
        <v>21018</v>
      </c>
      <c r="V20" s="35">
        <f t="shared" si="9"/>
        <v>21018</v>
      </c>
      <c r="W20" s="35">
        <f t="shared" si="9"/>
        <v>21018</v>
      </c>
      <c r="X20" s="35">
        <f t="shared" si="9"/>
        <v>21018</v>
      </c>
      <c r="Y20" s="35">
        <f t="shared" si="9"/>
        <v>21018</v>
      </c>
      <c r="Z20" s="35">
        <f t="shared" si="9"/>
        <v>21018</v>
      </c>
      <c r="AA20" s="35">
        <f t="shared" si="9"/>
        <v>21018</v>
      </c>
      <c r="AB20" s="35">
        <f t="shared" si="9"/>
        <v>21018</v>
      </c>
      <c r="AC20" s="35">
        <f t="shared" si="9"/>
        <v>21018</v>
      </c>
      <c r="AD20" s="35">
        <f t="shared" si="9"/>
        <v>21018</v>
      </c>
      <c r="AE20" s="35">
        <f t="shared" si="9"/>
        <v>21018</v>
      </c>
      <c r="AF20" s="35">
        <f t="shared" si="9"/>
        <v>21018</v>
      </c>
      <c r="AG20" s="35">
        <f t="shared" si="9"/>
        <v>21018</v>
      </c>
      <c r="AH20" s="35">
        <f t="shared" si="9"/>
        <v>21018</v>
      </c>
      <c r="AI20" s="35">
        <f t="shared" si="9"/>
        <v>21018</v>
      </c>
      <c r="AJ20" s="35">
        <f t="shared" si="9"/>
        <v>21018</v>
      </c>
      <c r="AK20" s="35">
        <f t="shared" si="9"/>
        <v>21018</v>
      </c>
      <c r="AL20" s="35">
        <f t="shared" si="9"/>
        <v>21018</v>
      </c>
    </row>
    <row r="21" spans="1:38" ht="12.75">
      <c r="A21" s="1" t="s">
        <v>56</v>
      </c>
      <c r="D21" s="35">
        <f aca="true" t="shared" si="10" ref="D21:AL21">IF(D16&gt;$O$2,((D16-$O$2)*$O$4),0)</f>
        <v>14310</v>
      </c>
      <c r="E21" s="35">
        <f t="shared" si="10"/>
        <v>18792</v>
      </c>
      <c r="F21" s="35">
        <f t="shared" si="10"/>
        <v>23623.11</v>
      </c>
      <c r="G21" s="35">
        <f t="shared" si="10"/>
        <v>28831.04955000001</v>
      </c>
      <c r="H21" s="35">
        <f t="shared" si="10"/>
        <v>34445.751342750016</v>
      </c>
      <c r="I21" s="35">
        <f t="shared" si="10"/>
        <v>40499.53817893877</v>
      </c>
      <c r="J21" s="35">
        <f t="shared" si="10"/>
        <v>47027.31408817083</v>
      </c>
      <c r="K21" s="35">
        <f t="shared" si="10"/>
        <v>54066.77073818127</v>
      </c>
      <c r="L21" s="35">
        <f t="shared" si="10"/>
        <v>61658.61035533334</v>
      </c>
      <c r="M21" s="35">
        <f t="shared" si="10"/>
        <v>69846.7864772889</v>
      </c>
      <c r="N21" s="35">
        <f t="shared" si="10"/>
        <v>78678.76396441238</v>
      </c>
      <c r="O21" s="35">
        <f t="shared" si="10"/>
        <v>88205.79981059468</v>
      </c>
      <c r="P21" s="35">
        <f t="shared" si="10"/>
        <v>98483.24641743873</v>
      </c>
      <c r="Q21" s="35">
        <f t="shared" si="10"/>
        <v>109570.87912886386</v>
      </c>
      <c r="R21" s="35">
        <f t="shared" si="10"/>
        <v>121533.24996695187</v>
      </c>
      <c r="S21" s="35">
        <f t="shared" si="10"/>
        <v>134440.06966512353</v>
      </c>
      <c r="T21" s="35">
        <f t="shared" si="10"/>
        <v>148366.6202624217</v>
      </c>
      <c r="U21" s="35">
        <f t="shared" si="10"/>
        <v>163394.20070378087</v>
      </c>
      <c r="V21" s="35">
        <f t="shared" si="10"/>
        <v>179610.60808675305</v>
      </c>
      <c r="W21" s="35">
        <f t="shared" si="10"/>
        <v>197110.65740639885</v>
      </c>
      <c r="X21" s="35">
        <f t="shared" si="10"/>
        <v>215996.74287818908</v>
      </c>
      <c r="Y21" s="35">
        <f t="shared" si="10"/>
        <v>236379.44416515224</v>
      </c>
      <c r="Z21" s="35">
        <f t="shared" si="10"/>
        <v>258378.18110160128</v>
      </c>
      <c r="AA21" s="35">
        <f t="shared" si="10"/>
        <v>282121.9207931618</v>
      </c>
      <c r="AB21" s="35">
        <f t="shared" si="10"/>
        <v>307749.9412832009</v>
      </c>
      <c r="AC21" s="35">
        <f t="shared" si="10"/>
        <v>335412.65631096787</v>
      </c>
      <c r="AD21" s="35">
        <f t="shared" si="10"/>
        <v>365272.5060487797</v>
      </c>
      <c r="AE21" s="35">
        <f t="shared" si="10"/>
        <v>397504.9190965766</v>
      </c>
      <c r="AF21" s="35">
        <f t="shared" si="10"/>
        <v>432299.3514344354</v>
      </c>
      <c r="AG21" s="35">
        <f t="shared" si="10"/>
        <v>469860.4084896812</v>
      </c>
      <c r="AH21" s="35">
        <f t="shared" si="10"/>
        <v>510409.0569677671</v>
      </c>
      <c r="AI21" s="35">
        <f t="shared" si="10"/>
        <v>554183.933628028</v>
      </c>
      <c r="AJ21" s="35">
        <f t="shared" si="10"/>
        <v>601442.758759905</v>
      </c>
      <c r="AK21" s="35">
        <f t="shared" si="10"/>
        <v>652463.8627356837</v>
      </c>
      <c r="AL21" s="35">
        <f t="shared" si="10"/>
        <v>707547.8346858794</v>
      </c>
    </row>
    <row r="22" spans="1:38" ht="12.75">
      <c r="A22" s="1" t="s">
        <v>57</v>
      </c>
      <c r="D22" s="35">
        <f aca="true" t="shared" si="11" ref="D22:AL22">SUMIF(D18:D21,"&gt;0",D18:D21)</f>
        <v>49489.9</v>
      </c>
      <c r="E22" s="35">
        <f t="shared" si="11"/>
        <v>53971.9</v>
      </c>
      <c r="F22" s="35">
        <f t="shared" si="11"/>
        <v>58803.01</v>
      </c>
      <c r="G22" s="35">
        <f t="shared" si="11"/>
        <v>64010.94955000001</v>
      </c>
      <c r="H22" s="35">
        <f t="shared" si="11"/>
        <v>69625.65134275002</v>
      </c>
      <c r="I22" s="35">
        <f t="shared" si="11"/>
        <v>75679.43817893877</v>
      </c>
      <c r="J22" s="35">
        <f t="shared" si="11"/>
        <v>82207.21408817083</v>
      </c>
      <c r="K22" s="35">
        <f t="shared" si="11"/>
        <v>89246.67073818127</v>
      </c>
      <c r="L22" s="35">
        <f t="shared" si="11"/>
        <v>96838.51035533333</v>
      </c>
      <c r="M22" s="35">
        <f t="shared" si="11"/>
        <v>105026.6864772889</v>
      </c>
      <c r="N22" s="35">
        <f t="shared" si="11"/>
        <v>113858.66396441238</v>
      </c>
      <c r="O22" s="35">
        <f t="shared" si="11"/>
        <v>123385.69981059467</v>
      </c>
      <c r="P22" s="35">
        <f t="shared" si="11"/>
        <v>133663.14641743872</v>
      </c>
      <c r="Q22" s="35">
        <f t="shared" si="11"/>
        <v>144750.77912886385</v>
      </c>
      <c r="R22" s="35">
        <f t="shared" si="11"/>
        <v>156713.14996695187</v>
      </c>
      <c r="S22" s="35">
        <f t="shared" si="11"/>
        <v>169619.96966512353</v>
      </c>
      <c r="T22" s="35">
        <f t="shared" si="11"/>
        <v>183546.5202624217</v>
      </c>
      <c r="U22" s="35">
        <f t="shared" si="11"/>
        <v>198574.10070378086</v>
      </c>
      <c r="V22" s="35">
        <f t="shared" si="11"/>
        <v>214790.50808675305</v>
      </c>
      <c r="W22" s="35">
        <f t="shared" si="11"/>
        <v>232290.55740639885</v>
      </c>
      <c r="X22" s="35">
        <f t="shared" si="11"/>
        <v>251176.64287818907</v>
      </c>
      <c r="Y22" s="35">
        <f t="shared" si="11"/>
        <v>271559.34416515223</v>
      </c>
      <c r="Z22" s="35">
        <f t="shared" si="11"/>
        <v>293558.0811016013</v>
      </c>
      <c r="AA22" s="35">
        <f t="shared" si="11"/>
        <v>317301.8207931618</v>
      </c>
      <c r="AB22" s="35">
        <f t="shared" si="11"/>
        <v>342929.84128320095</v>
      </c>
      <c r="AC22" s="35">
        <f t="shared" si="11"/>
        <v>370592.5563109679</v>
      </c>
      <c r="AD22" s="35">
        <f t="shared" si="11"/>
        <v>400452.4060487797</v>
      </c>
      <c r="AE22" s="35">
        <f t="shared" si="11"/>
        <v>432684.8190965766</v>
      </c>
      <c r="AF22" s="35">
        <f t="shared" si="11"/>
        <v>467479.2514344354</v>
      </c>
      <c r="AG22" s="35">
        <f t="shared" si="11"/>
        <v>505040.3084896812</v>
      </c>
      <c r="AH22" s="35">
        <f t="shared" si="11"/>
        <v>545588.9569677671</v>
      </c>
      <c r="AI22" s="35">
        <f t="shared" si="11"/>
        <v>589363.833628028</v>
      </c>
      <c r="AJ22" s="35">
        <f t="shared" si="11"/>
        <v>636622.658759905</v>
      </c>
      <c r="AK22" s="35">
        <f t="shared" si="11"/>
        <v>687643.7627356837</v>
      </c>
      <c r="AL22" s="35">
        <f t="shared" si="11"/>
        <v>742727.7346858794</v>
      </c>
    </row>
    <row r="23" spans="1:38" ht="12.75">
      <c r="A23" s="1" t="s">
        <v>58</v>
      </c>
      <c r="B23" s="47">
        <v>0.07</v>
      </c>
      <c r="C23" s="80" t="s">
        <v>87</v>
      </c>
      <c r="D23" s="35">
        <f aca="true" t="shared" si="12" ref="D23:AL23">IF(D16&gt;65000,($B$23*65000),(D16*$B$23))</f>
        <v>4550</v>
      </c>
      <c r="E23" s="35">
        <f t="shared" si="12"/>
        <v>4550</v>
      </c>
      <c r="F23" s="35">
        <f t="shared" si="12"/>
        <v>4550</v>
      </c>
      <c r="G23" s="35">
        <f t="shared" si="12"/>
        <v>4550</v>
      </c>
      <c r="H23" s="35">
        <f t="shared" si="12"/>
        <v>4550</v>
      </c>
      <c r="I23" s="35">
        <f t="shared" si="12"/>
        <v>4550</v>
      </c>
      <c r="J23" s="35">
        <f t="shared" si="12"/>
        <v>4550</v>
      </c>
      <c r="K23" s="35">
        <f t="shared" si="12"/>
        <v>4550</v>
      </c>
      <c r="L23" s="35">
        <f t="shared" si="12"/>
        <v>4550</v>
      </c>
      <c r="M23" s="35">
        <f t="shared" si="12"/>
        <v>4550</v>
      </c>
      <c r="N23" s="35">
        <f t="shared" si="12"/>
        <v>4550</v>
      </c>
      <c r="O23" s="35">
        <f t="shared" si="12"/>
        <v>4550</v>
      </c>
      <c r="P23" s="35">
        <f t="shared" si="12"/>
        <v>4550</v>
      </c>
      <c r="Q23" s="35">
        <f t="shared" si="12"/>
        <v>4550</v>
      </c>
      <c r="R23" s="35">
        <f t="shared" si="12"/>
        <v>4550</v>
      </c>
      <c r="S23" s="35">
        <f t="shared" si="12"/>
        <v>4550</v>
      </c>
      <c r="T23" s="35">
        <f t="shared" si="12"/>
        <v>4550</v>
      </c>
      <c r="U23" s="35">
        <f t="shared" si="12"/>
        <v>4550</v>
      </c>
      <c r="V23" s="35">
        <f t="shared" si="12"/>
        <v>4550</v>
      </c>
      <c r="W23" s="35">
        <f t="shared" si="12"/>
        <v>4550</v>
      </c>
      <c r="X23" s="35">
        <f t="shared" si="12"/>
        <v>4550</v>
      </c>
      <c r="Y23" s="35">
        <f t="shared" si="12"/>
        <v>4550</v>
      </c>
      <c r="Z23" s="35">
        <f t="shared" si="12"/>
        <v>4550</v>
      </c>
      <c r="AA23" s="35">
        <f t="shared" si="12"/>
        <v>4550</v>
      </c>
      <c r="AB23" s="35">
        <f t="shared" si="12"/>
        <v>4550</v>
      </c>
      <c r="AC23" s="35">
        <f t="shared" si="12"/>
        <v>4550</v>
      </c>
      <c r="AD23" s="35">
        <f t="shared" si="12"/>
        <v>4550</v>
      </c>
      <c r="AE23" s="35">
        <f t="shared" si="12"/>
        <v>4550</v>
      </c>
      <c r="AF23" s="35">
        <f t="shared" si="12"/>
        <v>4550</v>
      </c>
      <c r="AG23" s="35">
        <f t="shared" si="12"/>
        <v>4550</v>
      </c>
      <c r="AH23" s="35">
        <f t="shared" si="12"/>
        <v>4550</v>
      </c>
      <c r="AI23" s="35">
        <f t="shared" si="12"/>
        <v>4550</v>
      </c>
      <c r="AJ23" s="35">
        <f t="shared" si="12"/>
        <v>4550</v>
      </c>
      <c r="AK23" s="35">
        <f t="shared" si="12"/>
        <v>4550</v>
      </c>
      <c r="AL23" s="35">
        <f t="shared" si="12"/>
        <v>4550</v>
      </c>
    </row>
    <row r="24" spans="1:38" ht="12.75">
      <c r="A24" s="1" t="s">
        <v>59</v>
      </c>
      <c r="B24" s="47">
        <v>0.0595</v>
      </c>
      <c r="C24" s="80" t="s">
        <v>86</v>
      </c>
      <c r="D24" s="35">
        <f aca="true" t="shared" si="13" ref="D24:AL24">D16*$B$24</f>
        <v>10115</v>
      </c>
      <c r="E24" s="35">
        <f t="shared" si="13"/>
        <v>10855.775</v>
      </c>
      <c r="F24" s="35">
        <f t="shared" si="13"/>
        <v>11654.250124999999</v>
      </c>
      <c r="G24" s="35">
        <f t="shared" si="13"/>
        <v>12515.006800625</v>
      </c>
      <c r="H24" s="35">
        <f t="shared" si="13"/>
        <v>13442.992235815627</v>
      </c>
      <c r="I24" s="35">
        <f t="shared" si="13"/>
        <v>14443.548671241268</v>
      </c>
      <c r="J24" s="35">
        <f t="shared" si="13"/>
        <v>15522.444967350457</v>
      </c>
      <c r="K24" s="35">
        <f t="shared" si="13"/>
        <v>16685.91071922718</v>
      </c>
      <c r="L24" s="35">
        <f t="shared" si="13"/>
        <v>17940.673100395372</v>
      </c>
      <c r="M24" s="35">
        <f t="shared" si="13"/>
        <v>19293.99665388525</v>
      </c>
      <c r="N24" s="35">
        <f t="shared" si="13"/>
        <v>20753.726266340378</v>
      </c>
      <c r="O24" s="35">
        <f t="shared" si="13"/>
        <v>22328.333579806622</v>
      </c>
      <c r="P24" s="35">
        <f t="shared" si="13"/>
        <v>24026.96711621557</v>
      </c>
      <c r="Q24" s="35">
        <f t="shared" si="13"/>
        <v>25859.50641157611</v>
      </c>
      <c r="R24" s="35">
        <f t="shared" si="13"/>
        <v>27836.62048064899</v>
      </c>
      <c r="S24" s="35">
        <f t="shared" si="13"/>
        <v>29969.83095854125</v>
      </c>
      <c r="T24" s="35">
        <f t="shared" si="13"/>
        <v>32271.580293372477</v>
      </c>
      <c r="U24" s="35">
        <f t="shared" si="13"/>
        <v>34755.305394097115</v>
      </c>
      <c r="V24" s="35">
        <f t="shared" si="13"/>
        <v>37435.51716989391</v>
      </c>
      <c r="W24" s="35">
        <f t="shared" si="13"/>
        <v>40327.886432446474</v>
      </c>
      <c r="X24" s="35">
        <f t="shared" si="13"/>
        <v>43449.33667014514</v>
      </c>
      <c r="Y24" s="35">
        <f t="shared" si="13"/>
        <v>46818.14424396266</v>
      </c>
      <c r="Z24" s="35">
        <f t="shared" si="13"/>
        <v>50454.04659873688</v>
      </c>
      <c r="AA24" s="35">
        <f t="shared" si="13"/>
        <v>54378.35913109202</v>
      </c>
      <c r="AB24" s="35">
        <f t="shared" si="13"/>
        <v>58614.10140652904</v>
      </c>
      <c r="AC24" s="35">
        <f t="shared" si="13"/>
        <v>63186.133473618305</v>
      </c>
      <c r="AD24" s="35">
        <f t="shared" si="13"/>
        <v>68121.3030830622</v>
      </c>
      <c r="AE24" s="35">
        <f t="shared" si="13"/>
        <v>73448.60468401751</v>
      </c>
      <c r="AF24" s="35">
        <f t="shared" si="13"/>
        <v>79199.35113985807</v>
      </c>
      <c r="AG24" s="35">
        <f t="shared" si="13"/>
        <v>85407.35918093342</v>
      </c>
      <c r="AH24" s="35">
        <f t="shared" si="13"/>
        <v>92109.14969328372</v>
      </c>
      <c r="AI24" s="35">
        <f t="shared" si="13"/>
        <v>99344.16403018797</v>
      </c>
      <c r="AJ24" s="35">
        <f t="shared" si="13"/>
        <v>107154.99762837318</v>
      </c>
      <c r="AK24" s="35">
        <f t="shared" si="13"/>
        <v>115587.65231325883</v>
      </c>
      <c r="AL24" s="35">
        <f t="shared" si="13"/>
        <v>124691.80878836062</v>
      </c>
    </row>
    <row r="25" spans="1:38" ht="12.75">
      <c r="A25" s="1" t="s">
        <v>60</v>
      </c>
      <c r="B25" s="47">
        <v>0.014273434432405472</v>
      </c>
      <c r="D25" s="35">
        <f aca="true" t="shared" si="14" ref="D25:AL25">$B$25*D16</f>
        <v>2426.48385350893</v>
      </c>
      <c r="E25" s="35">
        <f t="shared" si="14"/>
        <v>2604.1881121923784</v>
      </c>
      <c r="F25" s="35">
        <f t="shared" si="14"/>
        <v>2795.7340339166517</v>
      </c>
      <c r="G25" s="35">
        <f t="shared" si="14"/>
        <v>3002.220655291253</v>
      </c>
      <c r="H25" s="35">
        <f t="shared" si="14"/>
        <v>3224.834760558827</v>
      </c>
      <c r="I25" s="35">
        <f t="shared" si="14"/>
        <v>3464.857897986881</v>
      </c>
      <c r="J25" s="35">
        <f t="shared" si="14"/>
        <v>3723.6739575142697</v>
      </c>
      <c r="K25" s="35">
        <f t="shared" si="14"/>
        <v>4002.7773545522828</v>
      </c>
      <c r="L25" s="35">
        <f t="shared" si="14"/>
        <v>4303.781868432166</v>
      </c>
      <c r="M25" s="35">
        <f t="shared" si="14"/>
        <v>4628.43018787028</v>
      </c>
      <c r="N25" s="35">
        <f t="shared" si="14"/>
        <v>4978.604220011775</v>
      </c>
      <c r="O25" s="35">
        <f t="shared" si="14"/>
        <v>5356.336224138608</v>
      </c>
      <c r="P25" s="35">
        <f t="shared" si="14"/>
        <v>5763.820836014543</v>
      </c>
      <c r="Q25" s="35">
        <f t="shared" si="14"/>
        <v>6203.428054117656</v>
      </c>
      <c r="R25" s="35">
        <f t="shared" si="14"/>
        <v>6677.717264710902</v>
      </c>
      <c r="S25" s="35">
        <f t="shared" si="14"/>
        <v>7189.452388857381</v>
      </c>
      <c r="T25" s="35">
        <f t="shared" si="14"/>
        <v>7741.618241135473</v>
      </c>
      <c r="U25" s="35">
        <f t="shared" si="14"/>
        <v>8337.43819698947</v>
      </c>
      <c r="V25" s="35">
        <f t="shared" si="14"/>
        <v>8980.393273406218</v>
      </c>
      <c r="W25" s="35">
        <f t="shared" si="14"/>
        <v>9674.242735983513</v>
      </c>
      <c r="X25" s="35">
        <f t="shared" si="14"/>
        <v>10423.0463545013</v>
      </c>
      <c r="Y25" s="35">
        <f t="shared" si="14"/>
        <v>11231.188438875675</v>
      </c>
      <c r="Z25" s="35">
        <f t="shared" si="14"/>
        <v>12103.40379792607</v>
      </c>
      <c r="AA25" s="35">
        <f t="shared" si="14"/>
        <v>13044.805774780494</v>
      </c>
      <c r="AB25" s="35">
        <f t="shared" si="14"/>
        <v>14060.916525049708</v>
      </c>
      <c r="AC25" s="35">
        <f t="shared" si="14"/>
        <v>15157.69971719179</v>
      </c>
      <c r="AD25" s="35">
        <f t="shared" si="14"/>
        <v>16341.59584884217</v>
      </c>
      <c r="AE25" s="35">
        <f t="shared" si="14"/>
        <v>17619.560388386446</v>
      </c>
      <c r="AF25" s="35">
        <f t="shared" si="14"/>
        <v>18999.104967795323</v>
      </c>
      <c r="AG25" s="35">
        <f t="shared" si="14"/>
        <v>20488.341870822802</v>
      </c>
      <c r="AH25" s="35">
        <f t="shared" si="14"/>
        <v>22096.03208019674</v>
      </c>
      <c r="AI25" s="35">
        <f t="shared" si="14"/>
        <v>23831.63716852138</v>
      </c>
      <c r="AJ25" s="35">
        <f t="shared" si="14"/>
        <v>25705.37534038905</v>
      </c>
      <c r="AK25" s="35">
        <f t="shared" si="14"/>
        <v>27728.281957797997</v>
      </c>
      <c r="AL25" s="35">
        <f t="shared" si="14"/>
        <v>29912.274907541276</v>
      </c>
    </row>
    <row r="26" spans="1:38" ht="12.75">
      <c r="A26" s="1" t="s">
        <v>61</v>
      </c>
      <c r="B26" s="20"/>
      <c r="D26" s="35">
        <f aca="true" t="shared" si="15" ref="D26:AL26">SUM(D22:D25)</f>
        <v>66581.38385350893</v>
      </c>
      <c r="E26" s="35">
        <f t="shared" si="15"/>
        <v>71981.86311219238</v>
      </c>
      <c r="F26" s="35">
        <f t="shared" si="15"/>
        <v>77802.99415891666</v>
      </c>
      <c r="G26" s="35">
        <f t="shared" si="15"/>
        <v>84078.17700591628</v>
      </c>
      <c r="H26" s="35">
        <f t="shared" si="15"/>
        <v>90843.47833912447</v>
      </c>
      <c r="I26" s="35">
        <f t="shared" si="15"/>
        <v>98137.84474816691</v>
      </c>
      <c r="J26" s="35">
        <f t="shared" si="15"/>
        <v>106003.33301303556</v>
      </c>
      <c r="K26" s="35">
        <f t="shared" si="15"/>
        <v>114485.35881196073</v>
      </c>
      <c r="L26" s="35">
        <f t="shared" si="15"/>
        <v>123632.96532416088</v>
      </c>
      <c r="M26" s="35">
        <f t="shared" si="15"/>
        <v>133499.1133190444</v>
      </c>
      <c r="N26" s="35">
        <f t="shared" si="15"/>
        <v>144140.99445076453</v>
      </c>
      <c r="O26" s="35">
        <f t="shared" si="15"/>
        <v>155620.3696145399</v>
      </c>
      <c r="P26" s="35">
        <f t="shared" si="15"/>
        <v>168003.93436966883</v>
      </c>
      <c r="Q26" s="35">
        <f t="shared" si="15"/>
        <v>181363.71359455763</v>
      </c>
      <c r="R26" s="35">
        <f t="shared" si="15"/>
        <v>195777.48771231176</v>
      </c>
      <c r="S26" s="35">
        <f t="shared" si="15"/>
        <v>211329.25301252215</v>
      </c>
      <c r="T26" s="35">
        <f t="shared" si="15"/>
        <v>228109.71879692964</v>
      </c>
      <c r="U26" s="35">
        <f t="shared" si="15"/>
        <v>246216.84429486745</v>
      </c>
      <c r="V26" s="35">
        <f t="shared" si="15"/>
        <v>265756.41853005317</v>
      </c>
      <c r="W26" s="35">
        <f t="shared" si="15"/>
        <v>286842.6865748288</v>
      </c>
      <c r="X26" s="35">
        <f t="shared" si="15"/>
        <v>309599.0259028355</v>
      </c>
      <c r="Y26" s="35">
        <f t="shared" si="15"/>
        <v>334158.67684799054</v>
      </c>
      <c r="Z26" s="35">
        <f t="shared" si="15"/>
        <v>360665.5314982643</v>
      </c>
      <c r="AA26" s="35">
        <f t="shared" si="15"/>
        <v>389274.98569903435</v>
      </c>
      <c r="AB26" s="35">
        <f t="shared" si="15"/>
        <v>420154.8592147797</v>
      </c>
      <c r="AC26" s="35">
        <f t="shared" si="15"/>
        <v>453486.389501778</v>
      </c>
      <c r="AD26" s="35">
        <f t="shared" si="15"/>
        <v>489465.3049806841</v>
      </c>
      <c r="AE26" s="35">
        <f t="shared" si="15"/>
        <v>528302.9841689806</v>
      </c>
      <c r="AF26" s="35">
        <f t="shared" si="15"/>
        <v>570227.7075420888</v>
      </c>
      <c r="AG26" s="35">
        <f t="shared" si="15"/>
        <v>615486.0095414375</v>
      </c>
      <c r="AH26" s="35">
        <f t="shared" si="15"/>
        <v>664344.1387412476</v>
      </c>
      <c r="AI26" s="35">
        <f t="shared" si="15"/>
        <v>717089.6348267375</v>
      </c>
      <c r="AJ26" s="35">
        <f t="shared" si="15"/>
        <v>774033.0317286673</v>
      </c>
      <c r="AK26" s="35">
        <f t="shared" si="15"/>
        <v>835509.6970067406</v>
      </c>
      <c r="AL26" s="35">
        <f t="shared" si="15"/>
        <v>901881.8183817812</v>
      </c>
    </row>
    <row r="27" spans="2:38" ht="3.75" customHeight="1">
      <c r="B27" s="20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</row>
    <row r="28" spans="1:38" ht="12.75">
      <c r="A28" s="41" t="s">
        <v>62</v>
      </c>
      <c r="B28" s="42"/>
      <c r="C28" s="42"/>
      <c r="D28" s="43">
        <f aca="true" t="shared" si="16" ref="D28:AL28">D16-D26</f>
        <v>103418.61614649107</v>
      </c>
      <c r="E28" s="43">
        <f t="shared" si="16"/>
        <v>110468.13688780762</v>
      </c>
      <c r="F28" s="43">
        <f t="shared" si="16"/>
        <v>118066.75584108334</v>
      </c>
      <c r="G28" s="43">
        <f t="shared" si="16"/>
        <v>126258.07174408375</v>
      </c>
      <c r="H28" s="43">
        <f t="shared" si="16"/>
        <v>135089.16427962558</v>
      </c>
      <c r="I28" s="43">
        <f t="shared" si="16"/>
        <v>144610.8724155519</v>
      </c>
      <c r="J28" s="43">
        <f t="shared" si="16"/>
        <v>154878.0950096612</v>
      </c>
      <c r="K28" s="43">
        <f t="shared" si="16"/>
        <v>165950.11546076502</v>
      </c>
      <c r="L28" s="43">
        <f t="shared" si="16"/>
        <v>177890.95232954284</v>
      </c>
      <c r="M28" s="43">
        <f t="shared" si="16"/>
        <v>190769.7380067581</v>
      </c>
      <c r="N28" s="43">
        <f t="shared" si="16"/>
        <v>204661.1276726032</v>
      </c>
      <c r="O28" s="43">
        <f t="shared" si="16"/>
        <v>219645.74097044533</v>
      </c>
      <c r="P28" s="43">
        <f t="shared" si="16"/>
        <v>235810.6390121054</v>
      </c>
      <c r="Q28" s="43">
        <f t="shared" si="16"/>
        <v>253249.83954117532</v>
      </c>
      <c r="R28" s="43">
        <f t="shared" si="16"/>
        <v>272064.873306999</v>
      </c>
      <c r="S28" s="43">
        <f t="shared" si="16"/>
        <v>292365.3849461543</v>
      </c>
      <c r="T28" s="43">
        <f t="shared" si="16"/>
        <v>314269.78193201957</v>
      </c>
      <c r="U28" s="43">
        <f t="shared" si="16"/>
        <v>337905.9354378572</v>
      </c>
      <c r="V28" s="43">
        <f t="shared" si="16"/>
        <v>363411.93726648315</v>
      </c>
      <c r="W28" s="43">
        <f t="shared" si="16"/>
        <v>390936.9173318347</v>
      </c>
      <c r="X28" s="43">
        <f t="shared" si="16"/>
        <v>420641.9265365786</v>
      </c>
      <c r="Y28" s="43">
        <f t="shared" si="16"/>
        <v>452700.89027743234</v>
      </c>
      <c r="Z28" s="43">
        <f t="shared" si="16"/>
        <v>487301.63822840597</v>
      </c>
      <c r="AA28" s="43">
        <f t="shared" si="16"/>
        <v>524647.016504193</v>
      </c>
      <c r="AB28" s="43">
        <f t="shared" si="16"/>
        <v>564956.0887941117</v>
      </c>
      <c r="AC28" s="43">
        <f t="shared" si="16"/>
        <v>608465.433584244</v>
      </c>
      <c r="AD28" s="43">
        <f t="shared" si="16"/>
        <v>655430.5451548151</v>
      </c>
      <c r="AE28" s="43">
        <f t="shared" si="16"/>
        <v>706127.3466548432</v>
      </c>
      <c r="AF28" s="43">
        <f t="shared" si="16"/>
        <v>760853.8242202317</v>
      </c>
      <c r="AG28" s="43">
        <f t="shared" si="16"/>
        <v>819931.791818788</v>
      </c>
      <c r="AH28" s="43">
        <f t="shared" si="16"/>
        <v>883708.7972803276</v>
      </c>
      <c r="AI28" s="43">
        <f t="shared" si="16"/>
        <v>952560.1808066738</v>
      </c>
      <c r="AJ28" s="43">
        <f t="shared" si="16"/>
        <v>1026891.2981599577</v>
      </c>
      <c r="AK28" s="43">
        <f t="shared" si="16"/>
        <v>1107139.921703492</v>
      </c>
      <c r="AL28" s="44">
        <f t="shared" si="16"/>
        <v>1193778.8335234395</v>
      </c>
    </row>
    <row r="29" ht="12" customHeight="1"/>
    <row r="30" ht="12.75">
      <c r="F30" s="45"/>
    </row>
    <row r="31" spans="4:12" ht="12.75">
      <c r="D31" s="20"/>
      <c r="G31" s="48" t="s">
        <v>63</v>
      </c>
      <c r="H31" s="49"/>
      <c r="I31" s="49"/>
      <c r="J31" s="49"/>
      <c r="K31" s="3"/>
      <c r="L31" s="4"/>
    </row>
    <row r="32" spans="7:12" ht="12.75">
      <c r="G32" s="50" t="s">
        <v>64</v>
      </c>
      <c r="H32" s="51"/>
      <c r="I32" s="52">
        <v>0.07</v>
      </c>
      <c r="J32" s="51"/>
      <c r="K32" s="53" t="s">
        <v>65</v>
      </c>
      <c r="L32" s="66">
        <v>500000</v>
      </c>
    </row>
    <row r="33" spans="7:12" ht="12.75">
      <c r="G33" s="50" t="s">
        <v>66</v>
      </c>
      <c r="H33" s="51"/>
      <c r="I33" s="54">
        <v>30</v>
      </c>
      <c r="J33" s="51"/>
      <c r="K33" s="6"/>
      <c r="L33" s="8"/>
    </row>
    <row r="34" spans="7:12" ht="12.75">
      <c r="G34" s="50" t="s">
        <v>81</v>
      </c>
      <c r="H34" s="51"/>
      <c r="I34" s="70">
        <f>K37/12</f>
        <v>3357.766812962967</v>
      </c>
      <c r="J34" s="51"/>
      <c r="K34" s="6"/>
      <c r="L34" s="8"/>
    </row>
    <row r="35" spans="7:12" ht="12.75">
      <c r="G35" s="50"/>
      <c r="H35" s="51" t="s">
        <v>67</v>
      </c>
      <c r="I35" s="51"/>
      <c r="J35" s="51"/>
      <c r="K35" s="55" t="s">
        <v>13</v>
      </c>
      <c r="L35" s="56" t="s">
        <v>68</v>
      </c>
    </row>
    <row r="36" spans="7:12" ht="12.75">
      <c r="G36" s="57" t="s">
        <v>69</v>
      </c>
      <c r="H36" s="58" t="s">
        <v>70</v>
      </c>
      <c r="I36" s="58" t="s">
        <v>71</v>
      </c>
      <c r="J36" s="58" t="s">
        <v>72</v>
      </c>
      <c r="K36" s="59" t="s">
        <v>73</v>
      </c>
      <c r="L36" s="60" t="s">
        <v>70</v>
      </c>
    </row>
    <row r="37" spans="7:12" ht="12" customHeight="1">
      <c r="G37" s="50">
        <v>1</v>
      </c>
      <c r="H37" s="67">
        <f>L32</f>
        <v>500000</v>
      </c>
      <c r="I37" s="68">
        <f aca="true" t="shared" si="17" ref="I37:I46">H37*$I$32</f>
        <v>35000</v>
      </c>
      <c r="J37" s="68">
        <f aca="true" t="shared" si="18" ref="J37:J46">K37-I37</f>
        <v>5293.201755555601</v>
      </c>
      <c r="K37" s="68">
        <f aca="true" t="shared" si="19" ref="K37:K46">-PMT($I$32,$I$33,$H$37)</f>
        <v>40293.2017555556</v>
      </c>
      <c r="L37" s="69">
        <f aca="true" t="shared" si="20" ref="L37:L46">H37-J37</f>
        <v>494706.7982444444</v>
      </c>
    </row>
    <row r="38" spans="7:12" ht="12" customHeight="1">
      <c r="G38" s="50">
        <f aca="true" t="shared" si="21" ref="G38:G66">G37+1</f>
        <v>2</v>
      </c>
      <c r="H38" s="61">
        <f aca="true" t="shared" si="22" ref="H38:H46">L37</f>
        <v>494706.7982444444</v>
      </c>
      <c r="I38" s="61">
        <f t="shared" si="17"/>
        <v>34629.475877111116</v>
      </c>
      <c r="J38" s="61">
        <f t="shared" si="18"/>
        <v>5663.725878444486</v>
      </c>
      <c r="K38" s="61">
        <f t="shared" si="19"/>
        <v>40293.2017555556</v>
      </c>
      <c r="L38" s="62">
        <f t="shared" si="20"/>
        <v>489043.0723659999</v>
      </c>
    </row>
    <row r="39" spans="7:12" ht="12" customHeight="1">
      <c r="G39" s="50">
        <f t="shared" si="21"/>
        <v>3</v>
      </c>
      <c r="H39" s="61">
        <f t="shared" si="22"/>
        <v>489043.0723659999</v>
      </c>
      <c r="I39" s="61">
        <f t="shared" si="17"/>
        <v>34233.01506562</v>
      </c>
      <c r="J39" s="61">
        <f t="shared" si="18"/>
        <v>6060.186689935603</v>
      </c>
      <c r="K39" s="61">
        <f t="shared" si="19"/>
        <v>40293.2017555556</v>
      </c>
      <c r="L39" s="62">
        <f t="shared" si="20"/>
        <v>482982.8856760643</v>
      </c>
    </row>
    <row r="40" spans="7:12" ht="12" customHeight="1">
      <c r="G40" s="50">
        <f t="shared" si="21"/>
        <v>4</v>
      </c>
      <c r="H40" s="61">
        <f t="shared" si="22"/>
        <v>482982.8856760643</v>
      </c>
      <c r="I40" s="61">
        <f t="shared" si="17"/>
        <v>33808.8019973245</v>
      </c>
      <c r="J40" s="61">
        <f t="shared" si="18"/>
        <v>6484.3997582310985</v>
      </c>
      <c r="K40" s="61">
        <f t="shared" si="19"/>
        <v>40293.2017555556</v>
      </c>
      <c r="L40" s="62">
        <f t="shared" si="20"/>
        <v>476498.48591783317</v>
      </c>
    </row>
    <row r="41" spans="7:12" ht="12" customHeight="1">
      <c r="G41" s="50">
        <f t="shared" si="21"/>
        <v>5</v>
      </c>
      <c r="H41" s="61">
        <f t="shared" si="22"/>
        <v>476498.48591783317</v>
      </c>
      <c r="I41" s="61">
        <f t="shared" si="17"/>
        <v>33354.894014248326</v>
      </c>
      <c r="J41" s="61">
        <f t="shared" si="18"/>
        <v>6938.307741307275</v>
      </c>
      <c r="K41" s="61">
        <f t="shared" si="19"/>
        <v>40293.2017555556</v>
      </c>
      <c r="L41" s="62">
        <f t="shared" si="20"/>
        <v>469560.17817652586</v>
      </c>
    </row>
    <row r="42" spans="7:12" ht="12" customHeight="1">
      <c r="G42" s="50">
        <f t="shared" si="21"/>
        <v>6</v>
      </c>
      <c r="H42" s="61">
        <f t="shared" si="22"/>
        <v>469560.17817652586</v>
      </c>
      <c r="I42" s="61">
        <f t="shared" si="17"/>
        <v>32869.21247235681</v>
      </c>
      <c r="J42" s="61">
        <f t="shared" si="18"/>
        <v>7423.989283198789</v>
      </c>
      <c r="K42" s="61">
        <f t="shared" si="19"/>
        <v>40293.2017555556</v>
      </c>
      <c r="L42" s="62">
        <f t="shared" si="20"/>
        <v>462136.1888933271</v>
      </c>
    </row>
    <row r="43" spans="7:12" ht="12" customHeight="1">
      <c r="G43" s="50">
        <f t="shared" si="21"/>
        <v>7</v>
      </c>
      <c r="H43" s="61">
        <f t="shared" si="22"/>
        <v>462136.1888933271</v>
      </c>
      <c r="I43" s="61">
        <f t="shared" si="17"/>
        <v>32349.5332225329</v>
      </c>
      <c r="J43" s="61">
        <f t="shared" si="18"/>
        <v>7943.668533022701</v>
      </c>
      <c r="K43" s="61">
        <f t="shared" si="19"/>
        <v>40293.2017555556</v>
      </c>
      <c r="L43" s="62">
        <f t="shared" si="20"/>
        <v>454192.5203603044</v>
      </c>
    </row>
    <row r="44" spans="7:12" ht="12" customHeight="1">
      <c r="G44" s="50">
        <f t="shared" si="21"/>
        <v>8</v>
      </c>
      <c r="H44" s="61">
        <f t="shared" si="22"/>
        <v>454192.5203603044</v>
      </c>
      <c r="I44" s="61">
        <f t="shared" si="17"/>
        <v>31793.47642522131</v>
      </c>
      <c r="J44" s="61">
        <f t="shared" si="18"/>
        <v>8499.725330334291</v>
      </c>
      <c r="K44" s="61">
        <f t="shared" si="19"/>
        <v>40293.2017555556</v>
      </c>
      <c r="L44" s="62">
        <f t="shared" si="20"/>
        <v>445692.7950299701</v>
      </c>
    </row>
    <row r="45" spans="7:12" ht="12" customHeight="1">
      <c r="G45" s="50">
        <f t="shared" si="21"/>
        <v>9</v>
      </c>
      <c r="H45" s="61">
        <f t="shared" si="22"/>
        <v>445692.7950299701</v>
      </c>
      <c r="I45" s="61">
        <f t="shared" si="17"/>
        <v>31198.49565209791</v>
      </c>
      <c r="J45" s="61">
        <f t="shared" si="18"/>
        <v>9094.706103457691</v>
      </c>
      <c r="K45" s="61">
        <f t="shared" si="19"/>
        <v>40293.2017555556</v>
      </c>
      <c r="L45" s="62">
        <f t="shared" si="20"/>
        <v>436598.0889265124</v>
      </c>
    </row>
    <row r="46" spans="7:12" ht="12" customHeight="1">
      <c r="G46" s="50">
        <f t="shared" si="21"/>
        <v>10</v>
      </c>
      <c r="H46" s="61">
        <f t="shared" si="22"/>
        <v>436598.0889265124</v>
      </c>
      <c r="I46" s="61">
        <f t="shared" si="17"/>
        <v>30561.866224855872</v>
      </c>
      <c r="J46" s="61">
        <f t="shared" si="18"/>
        <v>9731.33553069973</v>
      </c>
      <c r="K46" s="61">
        <f t="shared" si="19"/>
        <v>40293.2017555556</v>
      </c>
      <c r="L46" s="62">
        <f t="shared" si="20"/>
        <v>426866.75339581264</v>
      </c>
    </row>
    <row r="47" spans="7:12" ht="12" customHeight="1">
      <c r="G47" s="50">
        <f t="shared" si="21"/>
        <v>11</v>
      </c>
      <c r="H47" s="61">
        <f aca="true" t="shared" si="23" ref="H47:H66">IF($I$33="10"," ",L46)</f>
        <v>426866.75339581264</v>
      </c>
      <c r="I47" s="61">
        <f aca="true" t="shared" si="24" ref="I47:I66">IF($I$33="10"," ",H47*$I$32)</f>
        <v>29880.67273770689</v>
      </c>
      <c r="J47" s="61">
        <f aca="true" t="shared" si="25" ref="J47:J66">IF($I$33="10"," ",K47-I47)</f>
        <v>10412.529017848712</v>
      </c>
      <c r="K47" s="61">
        <f aca="true" t="shared" si="26" ref="K47:K66">IF($I$33="10"," ",-PMT($I$32,$I$33,$H$37))</f>
        <v>40293.2017555556</v>
      </c>
      <c r="L47" s="62">
        <f aca="true" t="shared" si="27" ref="L47:L66">IF($I$33="10"," ",H47-J47)</f>
        <v>416454.2243779639</v>
      </c>
    </row>
    <row r="48" spans="7:12" ht="12" customHeight="1">
      <c r="G48" s="50">
        <f t="shared" si="21"/>
        <v>12</v>
      </c>
      <c r="H48" s="61">
        <f t="shared" si="23"/>
        <v>416454.2243779639</v>
      </c>
      <c r="I48" s="61">
        <f t="shared" si="24"/>
        <v>29151.795706457477</v>
      </c>
      <c r="J48" s="61">
        <f t="shared" si="25"/>
        <v>11141.406049098125</v>
      </c>
      <c r="K48" s="61">
        <f t="shared" si="26"/>
        <v>40293.2017555556</v>
      </c>
      <c r="L48" s="62">
        <f t="shared" si="27"/>
        <v>405312.8183288658</v>
      </c>
    </row>
    <row r="49" spans="7:12" ht="12" customHeight="1">
      <c r="G49" s="50">
        <f t="shared" si="21"/>
        <v>13</v>
      </c>
      <c r="H49" s="61">
        <f t="shared" si="23"/>
        <v>405312.8183288658</v>
      </c>
      <c r="I49" s="61">
        <f t="shared" si="24"/>
        <v>28371.897283020608</v>
      </c>
      <c r="J49" s="61">
        <f t="shared" si="25"/>
        <v>11921.304472534994</v>
      </c>
      <c r="K49" s="61">
        <f t="shared" si="26"/>
        <v>40293.2017555556</v>
      </c>
      <c r="L49" s="62">
        <f t="shared" si="27"/>
        <v>393391.5138563308</v>
      </c>
    </row>
    <row r="50" spans="7:12" ht="12" customHeight="1">
      <c r="G50" s="50">
        <f t="shared" si="21"/>
        <v>14</v>
      </c>
      <c r="H50" s="61">
        <f t="shared" si="23"/>
        <v>393391.5138563308</v>
      </c>
      <c r="I50" s="61">
        <f t="shared" si="24"/>
        <v>27537.40596994316</v>
      </c>
      <c r="J50" s="61">
        <f t="shared" si="25"/>
        <v>12755.795785612441</v>
      </c>
      <c r="K50" s="61">
        <f t="shared" si="26"/>
        <v>40293.2017555556</v>
      </c>
      <c r="L50" s="62">
        <f t="shared" si="27"/>
        <v>380635.7180707184</v>
      </c>
    </row>
    <row r="51" spans="7:12" ht="12" customHeight="1">
      <c r="G51" s="50">
        <f t="shared" si="21"/>
        <v>15</v>
      </c>
      <c r="H51" s="61">
        <f t="shared" si="23"/>
        <v>380635.7180707184</v>
      </c>
      <c r="I51" s="61">
        <f t="shared" si="24"/>
        <v>26644.50026495029</v>
      </c>
      <c r="J51" s="61">
        <f t="shared" si="25"/>
        <v>13648.701490605312</v>
      </c>
      <c r="K51" s="61">
        <f t="shared" si="26"/>
        <v>40293.2017555556</v>
      </c>
      <c r="L51" s="62">
        <f t="shared" si="27"/>
        <v>366987.0165801131</v>
      </c>
    </row>
    <row r="52" spans="7:12" ht="12" customHeight="1">
      <c r="G52" s="50">
        <f t="shared" si="21"/>
        <v>16</v>
      </c>
      <c r="H52" s="61">
        <f t="shared" si="23"/>
        <v>366987.0165801131</v>
      </c>
      <c r="I52" s="61">
        <f t="shared" si="24"/>
        <v>25689.09116060792</v>
      </c>
      <c r="J52" s="61">
        <f t="shared" si="25"/>
        <v>14604.11059494768</v>
      </c>
      <c r="K52" s="61">
        <f t="shared" si="26"/>
        <v>40293.2017555556</v>
      </c>
      <c r="L52" s="62">
        <f t="shared" si="27"/>
        <v>352382.9059851654</v>
      </c>
    </row>
    <row r="53" spans="7:12" ht="12" customHeight="1">
      <c r="G53" s="50">
        <f t="shared" si="21"/>
        <v>17</v>
      </c>
      <c r="H53" s="61">
        <f t="shared" si="23"/>
        <v>352382.9059851654</v>
      </c>
      <c r="I53" s="61">
        <f t="shared" si="24"/>
        <v>24666.80341896158</v>
      </c>
      <c r="J53" s="61">
        <f t="shared" si="25"/>
        <v>15626.398336594022</v>
      </c>
      <c r="K53" s="61">
        <f t="shared" si="26"/>
        <v>40293.2017555556</v>
      </c>
      <c r="L53" s="62">
        <f t="shared" si="27"/>
        <v>336756.5076485714</v>
      </c>
    </row>
    <row r="54" spans="7:12" ht="12" customHeight="1">
      <c r="G54" s="50">
        <f t="shared" si="21"/>
        <v>18</v>
      </c>
      <c r="H54" s="61">
        <f t="shared" si="23"/>
        <v>336756.5076485714</v>
      </c>
      <c r="I54" s="61">
        <f t="shared" si="24"/>
        <v>23572.9555354</v>
      </c>
      <c r="J54" s="61">
        <f t="shared" si="25"/>
        <v>16720.2462201556</v>
      </c>
      <c r="K54" s="61">
        <f t="shared" si="26"/>
        <v>40293.2017555556</v>
      </c>
      <c r="L54" s="62">
        <f t="shared" si="27"/>
        <v>320036.2614284158</v>
      </c>
    </row>
    <row r="55" spans="7:12" ht="12" customHeight="1">
      <c r="G55" s="50">
        <f t="shared" si="21"/>
        <v>19</v>
      </c>
      <c r="H55" s="61">
        <f t="shared" si="23"/>
        <v>320036.2614284158</v>
      </c>
      <c r="I55" s="61">
        <f t="shared" si="24"/>
        <v>22402.538299989108</v>
      </c>
      <c r="J55" s="61">
        <f t="shared" si="25"/>
        <v>17890.663455566493</v>
      </c>
      <c r="K55" s="61">
        <f t="shared" si="26"/>
        <v>40293.2017555556</v>
      </c>
      <c r="L55" s="62">
        <f t="shared" si="27"/>
        <v>302145.59797284927</v>
      </c>
    </row>
    <row r="56" spans="7:12" ht="12" customHeight="1">
      <c r="G56" s="50">
        <f t="shared" si="21"/>
        <v>20</v>
      </c>
      <c r="H56" s="61">
        <f t="shared" si="23"/>
        <v>302145.59797284927</v>
      </c>
      <c r="I56" s="61">
        <f t="shared" si="24"/>
        <v>21150.19185809945</v>
      </c>
      <c r="J56" s="61">
        <f t="shared" si="25"/>
        <v>19143.00989745615</v>
      </c>
      <c r="K56" s="61">
        <f t="shared" si="26"/>
        <v>40293.2017555556</v>
      </c>
      <c r="L56" s="62">
        <f t="shared" si="27"/>
        <v>283002.5880753931</v>
      </c>
    </row>
    <row r="57" spans="7:12" ht="12" customHeight="1">
      <c r="G57" s="50">
        <f t="shared" si="21"/>
        <v>21</v>
      </c>
      <c r="H57" s="61">
        <f t="shared" si="23"/>
        <v>283002.5880753931</v>
      </c>
      <c r="I57" s="61">
        <f t="shared" si="24"/>
        <v>19810.18116527752</v>
      </c>
      <c r="J57" s="61">
        <f t="shared" si="25"/>
        <v>20483.02059027808</v>
      </c>
      <c r="K57" s="61">
        <f t="shared" si="26"/>
        <v>40293.2017555556</v>
      </c>
      <c r="L57" s="62">
        <f t="shared" si="27"/>
        <v>262519.567485115</v>
      </c>
    </row>
    <row r="58" spans="7:12" ht="12" customHeight="1">
      <c r="G58" s="50">
        <f t="shared" si="21"/>
        <v>22</v>
      </c>
      <c r="H58" s="61">
        <f t="shared" si="23"/>
        <v>262519.567485115</v>
      </c>
      <c r="I58" s="61">
        <f t="shared" si="24"/>
        <v>18376.369723958054</v>
      </c>
      <c r="J58" s="61">
        <f t="shared" si="25"/>
        <v>21916.832031597547</v>
      </c>
      <c r="K58" s="61">
        <f t="shared" si="26"/>
        <v>40293.2017555556</v>
      </c>
      <c r="L58" s="62">
        <f t="shared" si="27"/>
        <v>240602.73545351747</v>
      </c>
    </row>
    <row r="59" spans="7:12" ht="12" customHeight="1">
      <c r="G59" s="50">
        <f t="shared" si="21"/>
        <v>23</v>
      </c>
      <c r="H59" s="61">
        <f t="shared" si="23"/>
        <v>240602.73545351747</v>
      </c>
      <c r="I59" s="61">
        <f t="shared" si="24"/>
        <v>16842.191481746224</v>
      </c>
      <c r="J59" s="61">
        <f t="shared" si="25"/>
        <v>23451.010273809377</v>
      </c>
      <c r="K59" s="61">
        <f t="shared" si="26"/>
        <v>40293.2017555556</v>
      </c>
      <c r="L59" s="62">
        <f t="shared" si="27"/>
        <v>217151.7251797081</v>
      </c>
    </row>
    <row r="60" spans="7:12" ht="12" customHeight="1">
      <c r="G60" s="50">
        <f t="shared" si="21"/>
        <v>24</v>
      </c>
      <c r="H60" s="61">
        <f t="shared" si="23"/>
        <v>217151.7251797081</v>
      </c>
      <c r="I60" s="61">
        <f t="shared" si="24"/>
        <v>15200.620762579569</v>
      </c>
      <c r="J60" s="61">
        <f t="shared" si="25"/>
        <v>25092.580992976033</v>
      </c>
      <c r="K60" s="61">
        <f t="shared" si="26"/>
        <v>40293.2017555556</v>
      </c>
      <c r="L60" s="62">
        <f t="shared" si="27"/>
        <v>192059.14418673207</v>
      </c>
    </row>
    <row r="61" spans="7:12" ht="12" customHeight="1">
      <c r="G61" s="50">
        <f t="shared" si="21"/>
        <v>25</v>
      </c>
      <c r="H61" s="61">
        <f t="shared" si="23"/>
        <v>192059.14418673207</v>
      </c>
      <c r="I61" s="61">
        <f t="shared" si="24"/>
        <v>13444.140093071246</v>
      </c>
      <c r="J61" s="61">
        <f t="shared" si="25"/>
        <v>26849.061662484353</v>
      </c>
      <c r="K61" s="61">
        <f t="shared" si="26"/>
        <v>40293.2017555556</v>
      </c>
      <c r="L61" s="62">
        <f t="shared" si="27"/>
        <v>165210.0825242477</v>
      </c>
    </row>
    <row r="62" spans="7:12" ht="12" customHeight="1">
      <c r="G62" s="50">
        <f t="shared" si="21"/>
        <v>26</v>
      </c>
      <c r="H62" s="61">
        <f t="shared" si="23"/>
        <v>165210.0825242477</v>
      </c>
      <c r="I62" s="61">
        <f t="shared" si="24"/>
        <v>11564.70577669734</v>
      </c>
      <c r="J62" s="61">
        <f t="shared" si="25"/>
        <v>28728.495978858264</v>
      </c>
      <c r="K62" s="61">
        <f t="shared" si="26"/>
        <v>40293.2017555556</v>
      </c>
      <c r="L62" s="62">
        <f t="shared" si="27"/>
        <v>136481.58654538944</v>
      </c>
    </row>
    <row r="63" spans="7:12" ht="12" customHeight="1">
      <c r="G63" s="50">
        <f t="shared" si="21"/>
        <v>27</v>
      </c>
      <c r="H63" s="61">
        <f t="shared" si="23"/>
        <v>136481.58654538944</v>
      </c>
      <c r="I63" s="61">
        <f t="shared" si="24"/>
        <v>9553.711058177261</v>
      </c>
      <c r="J63" s="61">
        <f t="shared" si="25"/>
        <v>30739.49069737834</v>
      </c>
      <c r="K63" s="61">
        <f t="shared" si="26"/>
        <v>40293.2017555556</v>
      </c>
      <c r="L63" s="62">
        <f t="shared" si="27"/>
        <v>105742.0958480111</v>
      </c>
    </row>
    <row r="64" spans="7:12" ht="12" customHeight="1">
      <c r="G64" s="50">
        <f t="shared" si="21"/>
        <v>28</v>
      </c>
      <c r="H64" s="61">
        <f t="shared" si="23"/>
        <v>105742.0958480111</v>
      </c>
      <c r="I64" s="61">
        <f t="shared" si="24"/>
        <v>7401.946709360777</v>
      </c>
      <c r="J64" s="61">
        <f t="shared" si="25"/>
        <v>32891.25504619483</v>
      </c>
      <c r="K64" s="61">
        <f t="shared" si="26"/>
        <v>40293.2017555556</v>
      </c>
      <c r="L64" s="62">
        <f t="shared" si="27"/>
        <v>72850.84080181627</v>
      </c>
    </row>
    <row r="65" spans="7:12" ht="12" customHeight="1">
      <c r="G65" s="50">
        <f t="shared" si="21"/>
        <v>29</v>
      </c>
      <c r="H65" s="61">
        <f t="shared" si="23"/>
        <v>72850.84080181627</v>
      </c>
      <c r="I65" s="61">
        <f t="shared" si="24"/>
        <v>5099.55885612714</v>
      </c>
      <c r="J65" s="61">
        <f t="shared" si="25"/>
        <v>35193.642899428465</v>
      </c>
      <c r="K65" s="61">
        <f t="shared" si="26"/>
        <v>40293.2017555556</v>
      </c>
      <c r="L65" s="62">
        <f t="shared" si="27"/>
        <v>37657.19790238781</v>
      </c>
    </row>
    <row r="66" spans="7:12" ht="12" customHeight="1">
      <c r="G66" s="63">
        <f t="shared" si="21"/>
        <v>30</v>
      </c>
      <c r="H66" s="64">
        <f t="shared" si="23"/>
        <v>37657.19790238781</v>
      </c>
      <c r="I66" s="64">
        <f t="shared" si="24"/>
        <v>2636.0038531671466</v>
      </c>
      <c r="J66" s="64">
        <f t="shared" si="25"/>
        <v>37657.197902388456</v>
      </c>
      <c r="K66" s="64">
        <f t="shared" si="26"/>
        <v>40293.2017555556</v>
      </c>
      <c r="L66" s="65">
        <f t="shared" si="27"/>
        <v>-6.475602276623249E-10</v>
      </c>
    </row>
  </sheetData>
  <printOptions horizontalCentered="1"/>
  <pageMargins left="0.2" right="0.2" top="0.5" bottom="0.2" header="0.5" footer="0.5"/>
  <pageSetup horizontalDpi="600" verticalDpi="600" orientation="landscape" scale="91" r:id="rId1"/>
  <rowBreaks count="1" manualBreakCount="1">
    <brk id="2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zoomScale="93" zoomScaleNormal="93" workbookViewId="0" topLeftCell="A1">
      <selection activeCell="A5" sqref="A5"/>
    </sheetView>
  </sheetViews>
  <sheetFormatPr defaultColWidth="9.33203125" defaultRowHeight="12.75"/>
  <cols>
    <col min="1" max="1" width="1.0078125" style="1" customWidth="1"/>
    <col min="2" max="2" width="11.16015625" style="1" customWidth="1"/>
    <col min="3" max="3" width="12.83203125" style="1" customWidth="1"/>
    <col min="4" max="4" width="9.83203125" style="1" customWidth="1"/>
    <col min="5" max="5" width="10.33203125" style="1" customWidth="1"/>
    <col min="6" max="6" width="8.83203125" style="1" customWidth="1"/>
    <col min="7" max="7" width="9.83203125" style="1" customWidth="1"/>
    <col min="8" max="8" width="10.83203125" style="1" customWidth="1"/>
    <col min="9" max="9" width="9.33203125" style="1" customWidth="1"/>
    <col min="10" max="12" width="8.83203125" style="1" customWidth="1"/>
    <col min="13" max="13" width="9.33203125" style="1" customWidth="1"/>
    <col min="14" max="15" width="8.83203125" style="1" customWidth="1"/>
    <col min="16" max="16384" width="9.33203125" style="1" customWidth="1"/>
  </cols>
  <sheetData>
    <row r="1" spans="2:13" ht="12" customHeight="1">
      <c r="B1" s="2" t="s">
        <v>0</v>
      </c>
      <c r="C1" s="3"/>
      <c r="D1" s="4"/>
      <c r="E1" s="2" t="s">
        <v>1</v>
      </c>
      <c r="F1" s="3"/>
      <c r="G1" s="4"/>
      <c r="H1" s="2" t="s">
        <v>2</v>
      </c>
      <c r="I1" s="3"/>
      <c r="J1" s="4"/>
      <c r="K1" s="2" t="s">
        <v>3</v>
      </c>
      <c r="L1" s="3"/>
      <c r="M1" s="4"/>
    </row>
    <row r="2" spans="2:13" ht="12" customHeight="1">
      <c r="B2" s="5" t="s">
        <v>95</v>
      </c>
      <c r="C2" s="6"/>
      <c r="D2" s="72">
        <v>1000</v>
      </c>
      <c r="E2" s="5" t="s">
        <v>4</v>
      </c>
      <c r="F2" s="6"/>
      <c r="G2" s="72">
        <v>1500</v>
      </c>
      <c r="H2" s="5" t="s">
        <v>5</v>
      </c>
      <c r="I2" s="6"/>
      <c r="J2" s="72">
        <v>250</v>
      </c>
      <c r="K2" s="5" t="s">
        <v>6</v>
      </c>
      <c r="L2" s="6"/>
      <c r="M2" s="72">
        <v>50</v>
      </c>
    </row>
    <row r="3" spans="2:13" ht="12" customHeight="1">
      <c r="B3" s="5" t="s">
        <v>96</v>
      </c>
      <c r="C3" s="7"/>
      <c r="D3" s="72">
        <v>500</v>
      </c>
      <c r="E3" s="5" t="s">
        <v>7</v>
      </c>
      <c r="F3" s="6"/>
      <c r="G3" s="72">
        <v>100</v>
      </c>
      <c r="H3" s="5" t="s">
        <v>91</v>
      </c>
      <c r="I3" s="7">
        <v>2000</v>
      </c>
      <c r="J3" s="72">
        <f>I3/12</f>
        <v>166.66666666666666</v>
      </c>
      <c r="K3" s="5" t="s">
        <v>8</v>
      </c>
      <c r="L3" s="7"/>
      <c r="M3" s="72">
        <v>50</v>
      </c>
    </row>
    <row r="4" spans="2:13" ht="12" customHeight="1">
      <c r="B4" s="5" t="s">
        <v>97</v>
      </c>
      <c r="C4" s="6"/>
      <c r="D4" s="72">
        <f>2.23*26+2*26</f>
        <v>109.97999999999999</v>
      </c>
      <c r="E4" s="5" t="s">
        <v>9</v>
      </c>
      <c r="F4" s="6"/>
      <c r="G4" s="72">
        <v>0</v>
      </c>
      <c r="H4" s="5" t="s">
        <v>10</v>
      </c>
      <c r="I4" s="7">
        <v>800</v>
      </c>
      <c r="J4" s="72">
        <f>I4/12</f>
        <v>66.66666666666667</v>
      </c>
      <c r="K4" s="5" t="s">
        <v>11</v>
      </c>
      <c r="L4" s="7"/>
      <c r="M4" s="72">
        <v>200</v>
      </c>
    </row>
    <row r="5" spans="2:13" ht="12" customHeight="1">
      <c r="B5" s="5" t="s">
        <v>89</v>
      </c>
      <c r="C5" s="81" t="s">
        <v>98</v>
      </c>
      <c r="D5" s="72">
        <v>2000</v>
      </c>
      <c r="E5" s="5" t="s">
        <v>12</v>
      </c>
      <c r="F5" s="6"/>
      <c r="G5" s="72">
        <v>75</v>
      </c>
      <c r="H5" s="5" t="s">
        <v>92</v>
      </c>
      <c r="I5" s="7">
        <v>1500</v>
      </c>
      <c r="J5" s="72">
        <f>I5/12</f>
        <v>125</v>
      </c>
      <c r="K5" s="5" t="s">
        <v>94</v>
      </c>
      <c r="L5" s="7"/>
      <c r="M5" s="72">
        <v>200</v>
      </c>
    </row>
    <row r="6" spans="2:13" ht="12" customHeight="1">
      <c r="B6" s="5" t="s">
        <v>99</v>
      </c>
      <c r="C6" s="6"/>
      <c r="D6" s="73"/>
      <c r="E6" s="6" t="s">
        <v>85</v>
      </c>
      <c r="F6" s="6"/>
      <c r="G6" s="74">
        <v>500</v>
      </c>
      <c r="H6" s="5" t="s">
        <v>90</v>
      </c>
      <c r="I6" s="6"/>
      <c r="J6" s="72">
        <v>545</v>
      </c>
      <c r="K6" s="5"/>
      <c r="L6" s="6"/>
      <c r="M6" s="72"/>
    </row>
    <row r="7" spans="2:13" ht="12" customHeight="1">
      <c r="B7" s="5"/>
      <c r="C7" s="6"/>
      <c r="D7" s="73"/>
      <c r="G7" s="75"/>
      <c r="H7" s="5"/>
      <c r="I7" s="6"/>
      <c r="J7" s="76"/>
      <c r="K7" s="5"/>
      <c r="L7" s="6"/>
      <c r="M7" s="76"/>
    </row>
    <row r="8" spans="2:13" ht="12" customHeight="1">
      <c r="B8" s="10" t="s">
        <v>13</v>
      </c>
      <c r="C8" s="11"/>
      <c r="D8" s="12">
        <f>SUM(D2:D7)</f>
        <v>3609.98</v>
      </c>
      <c r="E8" s="10" t="s">
        <v>13</v>
      </c>
      <c r="F8" s="11"/>
      <c r="G8" s="12">
        <f>SUM(G2:G7)</f>
        <v>2175</v>
      </c>
      <c r="H8" s="10" t="s">
        <v>13</v>
      </c>
      <c r="I8" s="11"/>
      <c r="J8" s="12">
        <f>SUM(J2:J7)</f>
        <v>1153.3333333333333</v>
      </c>
      <c r="K8" s="10" t="s">
        <v>13</v>
      </c>
      <c r="L8" s="11"/>
      <c r="M8" s="12">
        <f>SUM(M2:M7)</f>
        <v>500</v>
      </c>
    </row>
    <row r="9" spans="4:7" ht="12" customHeight="1">
      <c r="D9" s="13"/>
      <c r="E9" s="77" t="s">
        <v>84</v>
      </c>
      <c r="F9" s="17"/>
      <c r="G9" s="78"/>
    </row>
    <row r="10" spans="1:4" ht="12" customHeight="1">
      <c r="A10"/>
      <c r="B10"/>
      <c r="C10"/>
      <c r="D10" s="13"/>
    </row>
    <row r="11" spans="1:15" ht="12" customHeight="1">
      <c r="A11" s="14" t="s">
        <v>14</v>
      </c>
      <c r="B11" s="14"/>
      <c r="C11" s="14"/>
      <c r="D11" s="15" t="s">
        <v>15</v>
      </c>
      <c r="E11" s="15" t="s">
        <v>16</v>
      </c>
      <c r="F11" s="15" t="s">
        <v>17</v>
      </c>
      <c r="G11" s="15" t="s">
        <v>18</v>
      </c>
      <c r="H11" s="15" t="s">
        <v>19</v>
      </c>
      <c r="I11" s="15" t="s">
        <v>20</v>
      </c>
      <c r="J11" s="15" t="s">
        <v>21</v>
      </c>
      <c r="K11" s="15" t="s">
        <v>22</v>
      </c>
      <c r="L11" s="15" t="s">
        <v>23</v>
      </c>
      <c r="M11" s="15" t="s">
        <v>24</v>
      </c>
      <c r="N11" s="15" t="s">
        <v>25</v>
      </c>
      <c r="O11" s="15" t="s">
        <v>26</v>
      </c>
    </row>
    <row r="12" spans="1:15" ht="12" customHeight="1">
      <c r="A12" s="16" t="s">
        <v>74</v>
      </c>
      <c r="B12" s="17"/>
      <c r="C12" s="17"/>
      <c r="D12" s="18">
        <f>'START HERE!! Annual Assumptions'!D28/12</f>
        <v>8618.21801220759</v>
      </c>
      <c r="E12" s="18">
        <f aca="true" t="shared" si="0" ref="E12:O12">D12</f>
        <v>8618.21801220759</v>
      </c>
      <c r="F12" s="18">
        <f t="shared" si="0"/>
        <v>8618.21801220759</v>
      </c>
      <c r="G12" s="18">
        <f t="shared" si="0"/>
        <v>8618.21801220759</v>
      </c>
      <c r="H12" s="18">
        <f t="shared" si="0"/>
        <v>8618.21801220759</v>
      </c>
      <c r="I12" s="18">
        <f t="shared" si="0"/>
        <v>8618.21801220759</v>
      </c>
      <c r="J12" s="18">
        <f t="shared" si="0"/>
        <v>8618.21801220759</v>
      </c>
      <c r="K12" s="18">
        <f t="shared" si="0"/>
        <v>8618.21801220759</v>
      </c>
      <c r="L12" s="18">
        <f t="shared" si="0"/>
        <v>8618.21801220759</v>
      </c>
      <c r="M12" s="18">
        <f t="shared" si="0"/>
        <v>8618.21801220759</v>
      </c>
      <c r="N12" s="18">
        <f t="shared" si="0"/>
        <v>8618.21801220759</v>
      </c>
      <c r="O12" s="19">
        <f t="shared" si="0"/>
        <v>8618.21801220759</v>
      </c>
    </row>
    <row r="13" spans="1:15" ht="12" customHeight="1">
      <c r="A13" s="6" t="s">
        <v>27</v>
      </c>
      <c r="B13" s="6"/>
      <c r="C13" s="6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2:15" ht="12" customHeight="1">
      <c r="B14" s="1" t="s">
        <v>28</v>
      </c>
      <c r="D14" s="13">
        <f>G8</f>
        <v>2175</v>
      </c>
      <c r="E14" s="13">
        <f aca="true" t="shared" si="1" ref="E14:O14">D14</f>
        <v>2175</v>
      </c>
      <c r="F14" s="13">
        <f t="shared" si="1"/>
        <v>2175</v>
      </c>
      <c r="G14" s="13">
        <f t="shared" si="1"/>
        <v>2175</v>
      </c>
      <c r="H14" s="13">
        <f t="shared" si="1"/>
        <v>2175</v>
      </c>
      <c r="I14" s="13">
        <f t="shared" si="1"/>
        <v>2175</v>
      </c>
      <c r="J14" s="13">
        <f t="shared" si="1"/>
        <v>2175</v>
      </c>
      <c r="K14" s="13">
        <f t="shared" si="1"/>
        <v>2175</v>
      </c>
      <c r="L14" s="13">
        <f t="shared" si="1"/>
        <v>2175</v>
      </c>
      <c r="M14" s="13">
        <f t="shared" si="1"/>
        <v>2175</v>
      </c>
      <c r="N14" s="13">
        <f t="shared" si="1"/>
        <v>2175</v>
      </c>
      <c r="O14" s="13">
        <f t="shared" si="1"/>
        <v>2175</v>
      </c>
    </row>
    <row r="15" spans="2:15" ht="12" customHeight="1">
      <c r="B15" s="1" t="s">
        <v>29</v>
      </c>
      <c r="D15" s="13">
        <f>D8/12</f>
        <v>300.83166666666665</v>
      </c>
      <c r="E15" s="13">
        <f aca="true" t="shared" si="2" ref="E15:O15">D15</f>
        <v>300.83166666666665</v>
      </c>
      <c r="F15" s="13">
        <f t="shared" si="2"/>
        <v>300.83166666666665</v>
      </c>
      <c r="G15" s="13">
        <f t="shared" si="2"/>
        <v>300.83166666666665</v>
      </c>
      <c r="H15" s="13">
        <f t="shared" si="2"/>
        <v>300.83166666666665</v>
      </c>
      <c r="I15" s="13">
        <f t="shared" si="2"/>
        <v>300.83166666666665</v>
      </c>
      <c r="J15" s="13">
        <f t="shared" si="2"/>
        <v>300.83166666666665</v>
      </c>
      <c r="K15" s="13">
        <f t="shared" si="2"/>
        <v>300.83166666666665</v>
      </c>
      <c r="L15" s="13">
        <f t="shared" si="2"/>
        <v>300.83166666666665</v>
      </c>
      <c r="M15" s="13">
        <f t="shared" si="2"/>
        <v>300.83166666666665</v>
      </c>
      <c r="N15" s="13">
        <f t="shared" si="2"/>
        <v>300.83166666666665</v>
      </c>
      <c r="O15" s="13">
        <f t="shared" si="2"/>
        <v>300.83166666666665</v>
      </c>
    </row>
    <row r="16" spans="2:15" ht="12" customHeight="1">
      <c r="B16" s="1" t="s">
        <v>30</v>
      </c>
      <c r="D16" s="13">
        <f>J8</f>
        <v>1153.3333333333333</v>
      </c>
      <c r="E16" s="13">
        <f aca="true" t="shared" si="3" ref="E16:O16">D16</f>
        <v>1153.3333333333333</v>
      </c>
      <c r="F16" s="13">
        <f t="shared" si="3"/>
        <v>1153.3333333333333</v>
      </c>
      <c r="G16" s="13">
        <f t="shared" si="3"/>
        <v>1153.3333333333333</v>
      </c>
      <c r="H16" s="13">
        <f t="shared" si="3"/>
        <v>1153.3333333333333</v>
      </c>
      <c r="I16" s="13">
        <f t="shared" si="3"/>
        <v>1153.3333333333333</v>
      </c>
      <c r="J16" s="13">
        <f t="shared" si="3"/>
        <v>1153.3333333333333</v>
      </c>
      <c r="K16" s="13">
        <f t="shared" si="3"/>
        <v>1153.3333333333333</v>
      </c>
      <c r="L16" s="13">
        <f t="shared" si="3"/>
        <v>1153.3333333333333</v>
      </c>
      <c r="M16" s="13">
        <f t="shared" si="3"/>
        <v>1153.3333333333333</v>
      </c>
      <c r="N16" s="13">
        <f t="shared" si="3"/>
        <v>1153.3333333333333</v>
      </c>
      <c r="O16" s="13">
        <f t="shared" si="3"/>
        <v>1153.3333333333333</v>
      </c>
    </row>
    <row r="17" spans="2:15" ht="12" customHeight="1">
      <c r="B17" s="1" t="s">
        <v>31</v>
      </c>
      <c r="D17" s="13">
        <f>(M8*52)/12</f>
        <v>2166.6666666666665</v>
      </c>
      <c r="E17" s="13">
        <f aca="true" t="shared" si="4" ref="E17:O17">D17</f>
        <v>2166.6666666666665</v>
      </c>
      <c r="F17" s="13">
        <f t="shared" si="4"/>
        <v>2166.6666666666665</v>
      </c>
      <c r="G17" s="13">
        <f t="shared" si="4"/>
        <v>2166.6666666666665</v>
      </c>
      <c r="H17" s="13">
        <f t="shared" si="4"/>
        <v>2166.6666666666665</v>
      </c>
      <c r="I17" s="13">
        <f t="shared" si="4"/>
        <v>2166.6666666666665</v>
      </c>
      <c r="J17" s="13">
        <f t="shared" si="4"/>
        <v>2166.6666666666665</v>
      </c>
      <c r="K17" s="13">
        <f t="shared" si="4"/>
        <v>2166.6666666666665</v>
      </c>
      <c r="L17" s="13">
        <f t="shared" si="4"/>
        <v>2166.6666666666665</v>
      </c>
      <c r="M17" s="13">
        <f t="shared" si="4"/>
        <v>2166.6666666666665</v>
      </c>
      <c r="N17" s="13">
        <f t="shared" si="4"/>
        <v>2166.6666666666665</v>
      </c>
      <c r="O17" s="13">
        <f t="shared" si="4"/>
        <v>2166.6666666666665</v>
      </c>
    </row>
    <row r="18" spans="1:15" ht="12" customHeight="1">
      <c r="A18" s="16" t="s">
        <v>27</v>
      </c>
      <c r="B18" s="17"/>
      <c r="C18" s="17"/>
      <c r="D18" s="18">
        <f aca="true" t="shared" si="5" ref="D18:O18">SUM(D14:D17)</f>
        <v>5795.831666666667</v>
      </c>
      <c r="E18" s="18">
        <f t="shared" si="5"/>
        <v>5795.831666666667</v>
      </c>
      <c r="F18" s="18">
        <f t="shared" si="5"/>
        <v>5795.831666666667</v>
      </c>
      <c r="G18" s="18">
        <f t="shared" si="5"/>
        <v>5795.831666666667</v>
      </c>
      <c r="H18" s="18">
        <f t="shared" si="5"/>
        <v>5795.831666666667</v>
      </c>
      <c r="I18" s="18">
        <f t="shared" si="5"/>
        <v>5795.831666666667</v>
      </c>
      <c r="J18" s="18">
        <f t="shared" si="5"/>
        <v>5795.831666666667</v>
      </c>
      <c r="K18" s="18">
        <f t="shared" si="5"/>
        <v>5795.831666666667</v>
      </c>
      <c r="L18" s="18">
        <f t="shared" si="5"/>
        <v>5795.831666666667</v>
      </c>
      <c r="M18" s="18">
        <f t="shared" si="5"/>
        <v>5795.831666666667</v>
      </c>
      <c r="N18" s="18">
        <f t="shared" si="5"/>
        <v>5795.831666666667</v>
      </c>
      <c r="O18" s="19">
        <f t="shared" si="5"/>
        <v>5795.831666666667</v>
      </c>
    </row>
    <row r="19" ht="6" customHeight="1"/>
    <row r="20" spans="1:17" ht="12" customHeight="1">
      <c r="A20" s="16" t="s">
        <v>76</v>
      </c>
      <c r="B20" s="17"/>
      <c r="C20" s="17"/>
      <c r="D20" s="18">
        <f aca="true" t="shared" si="6" ref="D20:O20">D12-D18</f>
        <v>2822.386345540923</v>
      </c>
      <c r="E20" s="18">
        <f t="shared" si="6"/>
        <v>2822.386345540923</v>
      </c>
      <c r="F20" s="18">
        <f t="shared" si="6"/>
        <v>2822.386345540923</v>
      </c>
      <c r="G20" s="18">
        <f t="shared" si="6"/>
        <v>2822.386345540923</v>
      </c>
      <c r="H20" s="18">
        <f t="shared" si="6"/>
        <v>2822.386345540923</v>
      </c>
      <c r="I20" s="18">
        <f t="shared" si="6"/>
        <v>2822.386345540923</v>
      </c>
      <c r="J20" s="18">
        <f t="shared" si="6"/>
        <v>2822.386345540923</v>
      </c>
      <c r="K20" s="18">
        <f t="shared" si="6"/>
        <v>2822.386345540923</v>
      </c>
      <c r="L20" s="18">
        <f t="shared" si="6"/>
        <v>2822.386345540923</v>
      </c>
      <c r="M20" s="18">
        <f t="shared" si="6"/>
        <v>2822.386345540923</v>
      </c>
      <c r="N20" s="18">
        <f t="shared" si="6"/>
        <v>2822.386345540923</v>
      </c>
      <c r="O20" s="19">
        <f t="shared" si="6"/>
        <v>2822.386345540923</v>
      </c>
      <c r="Q20" s="20"/>
    </row>
    <row r="21" spans="4:15" ht="6" customHeight="1"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7" ht="12" customHeight="1">
      <c r="A22" s="16" t="s">
        <v>75</v>
      </c>
      <c r="B22" s="17"/>
      <c r="C22" s="17"/>
      <c r="D22" s="18">
        <f>D20</f>
        <v>2822.386345540923</v>
      </c>
      <c r="E22" s="18">
        <f aca="true" t="shared" si="7" ref="E22:O22">D22+E20</f>
        <v>5644.772691081846</v>
      </c>
      <c r="F22" s="18">
        <f t="shared" si="7"/>
        <v>8467.159036622768</v>
      </c>
      <c r="G22" s="18">
        <f t="shared" si="7"/>
        <v>11289.545382163691</v>
      </c>
      <c r="H22" s="18">
        <f t="shared" si="7"/>
        <v>14111.931727704614</v>
      </c>
      <c r="I22" s="18">
        <f t="shared" si="7"/>
        <v>16934.318073245537</v>
      </c>
      <c r="J22" s="18">
        <f t="shared" si="7"/>
        <v>19756.70441878646</v>
      </c>
      <c r="K22" s="18">
        <f t="shared" si="7"/>
        <v>22579.090764327382</v>
      </c>
      <c r="L22" s="18">
        <f t="shared" si="7"/>
        <v>25401.477109868305</v>
      </c>
      <c r="M22" s="18">
        <f t="shared" si="7"/>
        <v>28223.863455409228</v>
      </c>
      <c r="N22" s="18">
        <f t="shared" si="7"/>
        <v>31046.24980095015</v>
      </c>
      <c r="O22" s="19">
        <f t="shared" si="7"/>
        <v>33868.63614649107</v>
      </c>
      <c r="Q22" s="20"/>
    </row>
    <row r="23" spans="4:15" ht="6" customHeight="1">
      <c r="D23" s="21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1:15" ht="12" customHeight="1">
      <c r="A24" s="1" t="s">
        <v>79</v>
      </c>
      <c r="D24" s="21"/>
      <c r="E24" s="13">
        <f>SUM(D12:O12)</f>
        <v>103418.6161464911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1:15" ht="12" customHeight="1">
      <c r="A25" s="1" t="s">
        <v>80</v>
      </c>
      <c r="D25" s="21"/>
      <c r="E25" s="13">
        <f>SUM(D20:O20)</f>
        <v>33868.63614649107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1:15" ht="12" customHeight="1">
      <c r="A26" s="22" t="s">
        <v>77</v>
      </c>
      <c r="D26" s="21"/>
      <c r="E26" s="46">
        <f>E25/'START HERE!! Annual Assumptions'!D16</f>
        <v>0.19922727144994748</v>
      </c>
      <c r="F26" s="13"/>
      <c r="G26" s="79" t="s">
        <v>93</v>
      </c>
      <c r="H26" s="17"/>
      <c r="I26" s="18"/>
      <c r="J26" s="18"/>
      <c r="K26" s="18"/>
      <c r="L26" s="18"/>
      <c r="M26" s="18"/>
      <c r="N26" s="19"/>
      <c r="O26"/>
    </row>
    <row r="27" spans="1:16" ht="12" customHeight="1">
      <c r="A27" s="22" t="s">
        <v>78</v>
      </c>
      <c r="D27" s="13"/>
      <c r="E27" s="46">
        <f>E25/E24</f>
        <v>0.32749071113576494</v>
      </c>
      <c r="F27" s="13"/>
      <c r="G27" s="13"/>
      <c r="I27" s="13"/>
      <c r="J27" s="13"/>
      <c r="K27" s="13"/>
      <c r="L27" s="13"/>
      <c r="M27" s="13"/>
      <c r="N27" s="13"/>
      <c r="O27" s="13"/>
      <c r="P27" s="13"/>
    </row>
    <row r="28" spans="4:16" ht="12" customHeight="1">
      <c r="D28" s="13"/>
      <c r="E28" s="13"/>
      <c r="F28" s="13"/>
      <c r="G28" s="13"/>
      <c r="I28" s="13"/>
      <c r="J28" s="13"/>
      <c r="K28" s="13"/>
      <c r="L28" s="13"/>
      <c r="M28" s="13"/>
      <c r="N28" s="13"/>
      <c r="O28" s="13"/>
      <c r="P28" s="13"/>
    </row>
    <row r="29" spans="4:15" ht="12" customHeight="1">
      <c r="D29" s="13"/>
      <c r="E29" s="13"/>
      <c r="F29" s="13"/>
      <c r="G29" s="13"/>
      <c r="I29" s="13"/>
      <c r="J29" s="13"/>
      <c r="K29" s="13"/>
      <c r="L29" s="13"/>
      <c r="M29" s="13"/>
      <c r="N29" s="13"/>
      <c r="O29" s="13"/>
    </row>
    <row r="30" spans="1:15" ht="12.75">
      <c r="A30" s="22"/>
      <c r="D30" s="13"/>
      <c r="E30" s="13"/>
      <c r="F30" s="13"/>
      <c r="G30" s="13"/>
      <c r="I30" s="13"/>
      <c r="J30" s="13"/>
      <c r="K30" s="13"/>
      <c r="L30" s="13"/>
      <c r="M30" s="13"/>
      <c r="N30" s="13"/>
      <c r="O30" s="13"/>
    </row>
    <row r="31" spans="4:15" ht="12.75">
      <c r="D31" s="13"/>
      <c r="E31" s="13"/>
      <c r="F31" s="13"/>
      <c r="G31" s="13"/>
      <c r="I31" s="13"/>
      <c r="J31" s="13"/>
      <c r="K31" s="13"/>
      <c r="L31" s="13"/>
      <c r="M31" s="13"/>
      <c r="N31" s="13"/>
      <c r="O31" s="13"/>
    </row>
    <row r="32" spans="4:15" ht="12.75">
      <c r="D32" s="13"/>
      <c r="E32" s="13"/>
      <c r="F32" s="13"/>
      <c r="G32" s="13"/>
      <c r="I32" s="13"/>
      <c r="J32" s="13"/>
      <c r="K32" s="13"/>
      <c r="L32" s="13"/>
      <c r="M32" s="13"/>
      <c r="N32" s="13"/>
      <c r="O32" s="13"/>
    </row>
    <row r="33" spans="4:15" ht="12.75">
      <c r="D33" s="13"/>
      <c r="E33" s="13"/>
      <c r="F33" s="13"/>
      <c r="G33" s="13"/>
      <c r="I33" s="13"/>
      <c r="J33" s="13"/>
      <c r="K33" s="13"/>
      <c r="L33" s="13"/>
      <c r="M33" s="13"/>
      <c r="N33" s="13"/>
      <c r="O33" s="13"/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Dartmouth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 Macauley</dc:creator>
  <cp:keywords/>
  <dc:description/>
  <cp:lastModifiedBy>Doug Macauley</cp:lastModifiedBy>
  <cp:lastPrinted>1999-12-14T16:42:52Z</cp:lastPrinted>
  <dcterms:created xsi:type="dcterms:W3CDTF">1999-11-05T19:22:20Z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