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1460" windowHeight="6855" activeTab="0"/>
  </bookViews>
  <sheets>
    <sheet name="Mortgage Loan Table" sheetId="1" r:id="rId1"/>
    <sheet name="Sheet2" sheetId="2" r:id="rId2"/>
    <sheet name="Sheet3" sheetId="3" r:id="rId3"/>
    <sheet name="Sheet4" sheetId="4" r:id="rId4"/>
  </sheets>
  <definedNames>
    <definedName name="_xlnm.Print_Area" localSheetId="0">'Mortgage Loan Table'!$A$1:$O$38</definedName>
  </definedNames>
  <calcPr fullCalcOnLoad="1"/>
</workbook>
</file>

<file path=xl/sharedStrings.xml><?xml version="1.0" encoding="utf-8"?>
<sst xmlns="http://schemas.openxmlformats.org/spreadsheetml/2006/main" count="89" uniqueCount="51">
  <si>
    <t/>
  </si>
  <si>
    <t>Year</t>
  </si>
  <si>
    <t>Begin Balance</t>
  </si>
  <si>
    <t>Interest</t>
  </si>
  <si>
    <t>Principal</t>
  </si>
  <si>
    <t>Total Pmt.</t>
  </si>
  <si>
    <t>End Balance</t>
  </si>
  <si>
    <t>Home Val (Mkt)</t>
  </si>
  <si>
    <t>Home Equity</t>
  </si>
  <si>
    <t>HOME MORTGAGE TABLE</t>
  </si>
  <si>
    <t>Loan Value</t>
  </si>
  <si>
    <t>Interest Rate</t>
  </si>
  <si>
    <t>CUMULATIVE</t>
  </si>
  <si>
    <t>Total</t>
  </si>
  <si>
    <t>Down Payment</t>
  </si>
  <si>
    <t>Total Home Value</t>
  </si>
  <si>
    <t>% Home Eq.</t>
  </si>
  <si>
    <t>Condo Fee</t>
  </si>
  <si>
    <t>Real Estate Taxes</t>
  </si>
  <si>
    <t>Real EstateTax</t>
  </si>
  <si>
    <t>Monthly Payments</t>
  </si>
  <si>
    <t xml:space="preserve">Debt to </t>
  </si>
  <si>
    <t>Income Ratio</t>
  </si>
  <si>
    <t>TYPE IN BLUE CELLS ONLY</t>
  </si>
  <si>
    <t>Monthly</t>
  </si>
  <si>
    <t>Mortgage Payment</t>
  </si>
  <si>
    <t>Down Payment %</t>
  </si>
  <si>
    <t>Debt/Inc. Limit</t>
  </si>
  <si>
    <t>Jumbo Ceiling</t>
  </si>
  <si>
    <t>Personal Mortgage Insurance</t>
  </si>
  <si>
    <t>Less than 20%</t>
  </si>
  <si>
    <t>Of total mortgage value</t>
  </si>
  <si>
    <t>Home Apprec</t>
  </si>
  <si>
    <t>Annual Income</t>
  </si>
  <si>
    <t>Total Payment</t>
  </si>
  <si>
    <t>Square Feet</t>
  </si>
  <si>
    <t>Loan Term</t>
  </si>
  <si>
    <t>Price/Sq. Ft.</t>
  </si>
  <si>
    <t>Other</t>
  </si>
  <si>
    <t>Monthly Debt</t>
  </si>
  <si>
    <t>Personal Mortgage</t>
  </si>
  <si>
    <t>Insurance</t>
  </si>
  <si>
    <t>30 Year Fixed Mortgage</t>
  </si>
  <si>
    <t>30 Year Fixed Jumbo Mortgage</t>
  </si>
  <si>
    <t>15 Year Fixed Mortgage</t>
  </si>
  <si>
    <t>RECENT MORTGAGE RATES</t>
  </si>
  <si>
    <t>DO NOT ERASE</t>
  </si>
  <si>
    <t>Begin Yr Bal.</t>
  </si>
  <si>
    <t>Mon Int</t>
  </si>
  <si>
    <t>Mon Prin</t>
  </si>
  <si>
    <t>Balance</t>
  </si>
</sst>
</file>

<file path=xl/styles.xml><?xml version="1.0" encoding="utf-8"?>
<styleSheet xmlns="http://schemas.openxmlformats.org/spreadsheetml/2006/main">
  <numFmts count="19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_)"/>
    <numFmt numFmtId="166" formatCode="0_)"/>
    <numFmt numFmtId="167" formatCode="#,##0.0_);\(#,##0.0\)"/>
    <numFmt numFmtId="168" formatCode="_(* #,##0.0_);_(* \(#,##0.0\);_(* &quot;-&quot;??_);_(@_)"/>
    <numFmt numFmtId="169" formatCode="_(* #,##0_);_(* \(#,##0\);_(* &quot;-&quot;??_);_(@_)"/>
    <numFmt numFmtId="170" formatCode="#,##0.0"/>
    <numFmt numFmtId="171" formatCode="mm/dd/yy"/>
    <numFmt numFmtId="172" formatCode="0.0"/>
    <numFmt numFmtId="173" formatCode="0.0%"/>
    <numFmt numFmtId="174" formatCode="0.0\ \ \ \ \ "/>
    <numFmt numFmtId="175" formatCode="0.00\ &quot;Years&quot;"/>
    <numFmt numFmtId="176" formatCode="#,##0.0_)\ \ \ \ ;\(#,##0.0\)\ \ \ \ "/>
    <numFmt numFmtId="177" formatCode="yyyy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\ \ \ \ "/>
    <numFmt numFmtId="186" formatCode="0.0\ \ \ \ \ \ \ "/>
    <numFmt numFmtId="187" formatCode="0.0\ \ \ "/>
    <numFmt numFmtId="188" formatCode="0.0\ \ \ \ \ \ "/>
    <numFmt numFmtId="189" formatCode="0.0\ \ "/>
    <numFmt numFmtId="190" formatCode="0.0\ "/>
    <numFmt numFmtId="191" formatCode="0.00\ \ "/>
    <numFmt numFmtId="192" formatCode="0.00\ "/>
    <numFmt numFmtId="193" formatCode="0\ \ "/>
    <numFmt numFmtId="194" formatCode="0\ \ \ "/>
    <numFmt numFmtId="195" formatCode="0.00_)"/>
    <numFmt numFmtId="196" formatCode="#,##0,"/>
    <numFmt numFmtId="197" formatCode="0.0000%"/>
    <numFmt numFmtId="198" formatCode="0.0&quot;%&quot;"/>
    <numFmt numFmtId="199" formatCode="&quot;NA&quot;"/>
    <numFmt numFmtId="200" formatCode=";;;"/>
    <numFmt numFmtId="201" formatCode="&quot;--&quot;"/>
    <numFmt numFmtId="202" formatCode="&quot;$&quot;#,##0.0_);\(&quot;$&quot;#,##0.0\)"/>
    <numFmt numFmtId="203" formatCode="&quot;$&quot;#,##0\);\(&quot;$&quot;#,##0\)"/>
    <numFmt numFmtId="204" formatCode="&quot;$&quot;#,##0"/>
    <numFmt numFmtId="205" formatCode="&quot;$&quot;#,##0.0"/>
    <numFmt numFmtId="206" formatCode="0&quot;%&quot;"/>
    <numFmt numFmtId="207" formatCode="#,##0.0_);\(#,##0\)"/>
    <numFmt numFmtId="208" formatCode="0.0000000000"/>
    <numFmt numFmtId="209" formatCode="0.0&quot;%&quot;\ \ "/>
    <numFmt numFmtId="210" formatCode="@\ \ \ \ "/>
    <numFmt numFmtId="211" formatCode="@\ \ \ \ \ "/>
    <numFmt numFmtId="212" formatCode="#,##0.000_);\(#,##0.000\)"/>
    <numFmt numFmtId="213" formatCode="0.0&quot;%&quot;\ \ \ \ "/>
    <numFmt numFmtId="214" formatCode="0.0&quot;%&quot;\ \ \ \ \ "/>
    <numFmt numFmtId="215" formatCode="0.0&quot;%&quot;\ \ \ "/>
    <numFmt numFmtId="216" formatCode="0.0&quot;%&quot;\ "/>
    <numFmt numFmtId="217" formatCode="#,##0.000"/>
    <numFmt numFmtId="218" formatCode="#,##0.0000"/>
    <numFmt numFmtId="219" formatCode="0%\ \ \ "/>
    <numFmt numFmtId="220" formatCode="0.0%\ \ \ "/>
    <numFmt numFmtId="221" formatCode="0.0%\ \ "/>
    <numFmt numFmtId="222" formatCode="&quot;$&quot;#,##0_);\(&quot;$&quot;#,##0\)\ \ \ "/>
    <numFmt numFmtId="223" formatCode="0.0\ \ \ \ \ \ \ \ "/>
    <numFmt numFmtId="224" formatCode="0.00\ \ \ \ "/>
    <numFmt numFmtId="225" formatCode="0.0\ \ \ \ \ \ \ \ \ \ \ "/>
    <numFmt numFmtId="226" formatCode="0.0\ \ \ \ \ \ \ \ \ \ \ \ \ \ \ \ \ \ \ "/>
    <numFmt numFmtId="227" formatCode="0.0\ \ \ \ \ \ \ \ \ \ \ \ \ \ \ \ "/>
    <numFmt numFmtId="228" formatCode="0.0\ \ \ \ \ \ \ \ \ \ \ \ \ \ \ \ \ "/>
    <numFmt numFmtId="229" formatCode="0.0\ \ \ \ \ \ \ \ \ \ \ \ \ \ \ \ \ \ "/>
    <numFmt numFmtId="230" formatCode="0\Q"/>
    <numFmt numFmtId="231" formatCode="yy"/>
    <numFmt numFmtId="232" formatCode="0.00&quot; Years&quot;"/>
    <numFmt numFmtId="233" formatCode="0&quot; Years&quot;"/>
    <numFmt numFmtId="234" formatCode="\:\:\:"/>
    <numFmt numFmtId="235" formatCode=".0."/>
    <numFmt numFmtId="236" formatCode="0\ &quot;Year&quot;"/>
    <numFmt numFmtId="237" formatCode="[Red]0.00%"/>
    <numFmt numFmtId="238" formatCode="&quot;$&quot;#,##0;\(&quot;$&quot;#,##0\)"/>
    <numFmt numFmtId="239" formatCode="0.0\ \ \ \ \ \ \ \ \ \ "/>
    <numFmt numFmtId="240" formatCode="0.00\ \ \ \ \ "/>
    <numFmt numFmtId="241" formatCode="0.00\ \ \ \ \ \ \ \ \ "/>
    <numFmt numFmtId="242" formatCode="&quot;$&quot;#,##0_);\(&quot;$&quot;#,##0\)\ \ "/>
    <numFmt numFmtId="243" formatCode="&quot;$&quot;#,##0_);\(&quot;$&quot;#,##0\)\ \ \ \ "/>
    <numFmt numFmtId="244" formatCode="0\ \ \ \ \ "/>
    <numFmt numFmtId="245" formatCode="0.0\ \ \ \ \ \ \ \ \ \ \ \ "/>
    <numFmt numFmtId="246" formatCode="0.00%\ \ \ \ \ \ \ \ "/>
    <numFmt numFmtId="247" formatCode="0.0%\ \ \ \ \ \ \ \ \ \ \ \ "/>
    <numFmt numFmtId="248" formatCode="0.00%\ \ \ "/>
    <numFmt numFmtId="249" formatCode="0%\ \ \ \ \ \ \ \ "/>
    <numFmt numFmtId="250" formatCode="0.0%\ "/>
    <numFmt numFmtId="251" formatCode="&quot;DRAFT&quot;\ m/d/yy"/>
    <numFmt numFmtId="252" formatCode="0.000\ \ \ "/>
    <numFmt numFmtId="253" formatCode="0.00\ \ \ "/>
    <numFmt numFmtId="254" formatCode="0.%"/>
    <numFmt numFmtId="255" formatCode="0%\ \ "/>
    <numFmt numFmtId="256" formatCode="0%\ "/>
    <numFmt numFmtId="257" formatCode="0.00%\ \ \ \ \ "/>
    <numFmt numFmtId="258" formatCode="0%\ \ \ \ \ "/>
    <numFmt numFmtId="259" formatCode="0%\ \ \ \ "/>
    <numFmt numFmtId="260" formatCode="0\ \ \ \ "/>
    <numFmt numFmtId="261" formatCode="&quot;$&quot;0"/>
    <numFmt numFmtId="262" formatCode="&quot;$&quot;0\ \ \ \ "/>
    <numFmt numFmtId="263" formatCode="0.00%\ \ \ \ "/>
    <numFmt numFmtId="264" formatCode="0.00%\ \ "/>
    <numFmt numFmtId="265" formatCode="0.0%\ \ \ \ \ "/>
    <numFmt numFmtId="266" formatCode="0.0%\ \ \ \ "/>
    <numFmt numFmtId="267" formatCode="mmm\ \ d\ &quot;,&quot;\ yyyy"/>
    <numFmt numFmtId="268" formatCode="mmmm\ \ d\ &quot;,&quot;\ yyyy"/>
    <numFmt numFmtId="269" formatCode="mmmm\ dd&quot;,&quot;\ yy"/>
    <numFmt numFmtId="270" formatCode="mmmm\ dd&quot;,&quot;\ yyyy"/>
    <numFmt numFmtId="271" formatCode="mmmm\ \ d&quot;,&quot;\ yyyy"/>
    <numFmt numFmtId="272" formatCode="0.00000\ \ "/>
    <numFmt numFmtId="273" formatCode="0.000000\ \ "/>
    <numFmt numFmtId="274" formatCode="0&quot;%&quot;\ \ \ "/>
    <numFmt numFmtId="275" formatCode="0&quot;%&quot;\ \ \ \ \ "/>
    <numFmt numFmtId="276" formatCode="&quot;As of&quot;\ mmmm\ dd&quot;,&quot;\ yyyy"/>
    <numFmt numFmtId="277" formatCode="mmmm\ d&quot;,&quot;\ yyyy"/>
    <numFmt numFmtId="278" formatCode="mmm/d/yy"/>
    <numFmt numFmtId="279" formatCode="mmmm/d/yy"/>
    <numFmt numFmtId="280" formatCode="mmmm\,dd\ yyyy"/>
    <numFmt numFmtId="281" formatCode="mmmm\ dd\,\ yyyy"/>
    <numFmt numFmtId="282" formatCode="m/d"/>
    <numFmt numFmtId="283" formatCode="mmmm\ d\,\ yyyy"/>
    <numFmt numFmtId="284" formatCode="&quot;$&quot;#,##0_);\(&quot;$&quot;#,##0\)\ \ \ \ \ "/>
    <numFmt numFmtId="285" formatCode="&quot;$&quot;#,##0.00"/>
    <numFmt numFmtId="286" formatCode="&quot;$&quot;0\ &quot;per month&quot;"/>
    <numFmt numFmtId="287" formatCode="&quot;$&quot;0\ &quot; /month&quot;"/>
    <numFmt numFmtId="288" formatCode="&quot;$&quot;0\ &quot;/month&quot;"/>
    <numFmt numFmtId="289" formatCode="&quot;Age&quot;\ 0"/>
    <numFmt numFmtId="290" formatCode="0.00&quot;% growth&quot;"/>
    <numFmt numFmtId="291" formatCode="0\ &quot;yrs. old&quot;"/>
    <numFmt numFmtId="292" formatCode="&quot;$&quot;0\ \ "/>
    <numFmt numFmtId="293" formatCode="&quot;$&quot;#,##0\ \ \ "/>
    <numFmt numFmtId="294" formatCode="&quot;$&quot;#,##0\ \ "/>
    <numFmt numFmtId="295" formatCode="&quot;$&quot;#,##0\ "/>
    <numFmt numFmtId="296" formatCode="0.00&quot;% Gr. Rate&quot;"/>
    <numFmt numFmtId="297" formatCode="0\ &quot;years&quot;"/>
    <numFmt numFmtId="298" formatCode="0.000000000000000%"/>
    <numFmt numFmtId="299" formatCode="General&quot;-&quot;"/>
    <numFmt numFmtId="300" formatCode="General\ &quot;-&quot;"/>
    <numFmt numFmtId="301" formatCode="General\ \-\-\-"/>
    <numFmt numFmtId="302" formatCode="0\ &quot;yrs&quot;"/>
    <numFmt numFmtId="303" formatCode="0\ &quot;months&quot;"/>
    <numFmt numFmtId="304" formatCode="0&quot;X&quot;"/>
    <numFmt numFmtId="305" formatCode="m/d/yyyy"/>
    <numFmt numFmtId="306" formatCode="&quot;$&quot;0.00\ \ "/>
    <numFmt numFmtId="307" formatCode="&quot;$&quot;0\ \ \ \ \ "/>
    <numFmt numFmtId="308" formatCode="&quot;$&quot;0\ \ \ \ \ \ \ "/>
    <numFmt numFmtId="309" formatCode="&quot;$&quot;0\ \ \ \ \ \ "/>
    <numFmt numFmtId="310" formatCode="0.0000000000000000%"/>
    <numFmt numFmtId="311" formatCode="\2&quot;X&quot;"/>
    <numFmt numFmtId="312" formatCode="mmm"/>
    <numFmt numFmtId="313" formatCode="&quot;$&quot;0,000"/>
    <numFmt numFmtId="314" formatCode="&quot;$&quot;0,000\ \ \ "/>
    <numFmt numFmtId="315" formatCode="&quot;$&quot;0,000\ \ \ \ \ "/>
    <numFmt numFmtId="316" formatCode="&quot;$&quot;0,000\ "/>
    <numFmt numFmtId="317" formatCode="&quot;$&quot;0,000\ \ \ \ \ \ \ \ "/>
    <numFmt numFmtId="318" formatCode="&quot;$&quot;0,000\ \ "/>
    <numFmt numFmtId="319" formatCode="&quot;$&quot;0,000\ \ \ \ \ \ \ "/>
    <numFmt numFmtId="320" formatCode="&quot;$&quot;0,000\ \ \ \ \ \ \ \ \ "/>
    <numFmt numFmtId="321" formatCode="&quot;$&quot;#,##0\ \ \ \ \ \ \ \ "/>
    <numFmt numFmtId="322" formatCode="&quot;$&quot;#,##0\ \ \ \ "/>
    <numFmt numFmtId="323" formatCode="&quot;$&quot;#,##0\ \ \ \ \ \ "/>
    <numFmt numFmtId="324" formatCode="&quot;$&quot;#,##0\ \ \ \ \ \ \ "/>
    <numFmt numFmtId="325" formatCode="0.00000000000000000000"/>
    <numFmt numFmtId="326" formatCode="&quot;$&quot;#,##0\ \ \ \ \ \ \ \ \ \ \ \ "/>
    <numFmt numFmtId="327" formatCode="&quot;$&quot;#,##0\ \ \ \ \ \ \ \ \ "/>
    <numFmt numFmtId="328" formatCode="0\ &quot;exemptions&quot;"/>
    <numFmt numFmtId="329" formatCode="&quot;$&quot;#,##0\ &quot;per mos&quot;"/>
    <numFmt numFmtId="330" formatCode="0&quot; years old&quot;"/>
    <numFmt numFmtId="331" formatCode="0\ &quot;years old&quot;"/>
    <numFmt numFmtId="332" formatCode="&quot;$&quot;0\ "/>
    <numFmt numFmtId="333" formatCode="0\ &quot;years&quot;\ \ \ \ \ "/>
    <numFmt numFmtId="334" formatCode="#,##0.00000000000000000000"/>
    <numFmt numFmtId="335" formatCode="[Black]#\ ??/??;[Red]\-#\ ??/??"/>
    <numFmt numFmtId="336" formatCode="#,###"/>
    <numFmt numFmtId="337" formatCode="[$$-409]#,###"/>
    <numFmt numFmtId="338" formatCode="&quot;Year&quot;\ 0"/>
    <numFmt numFmtId="339" formatCode="0\ &quot;pmt per year&quot;"/>
    <numFmt numFmtId="340" formatCode="0\ &quot;pmt per yr&quot;"/>
    <numFmt numFmtId="341" formatCode="0\ &quot;pmt/yr&quot;"/>
    <numFmt numFmtId="342" formatCode="0\ &quot;monthly pamyments&quot;"/>
    <numFmt numFmtId="343" formatCode="0.00&quot;% interest rate per month&quot;"/>
    <numFmt numFmtId="344" formatCode="0.00&quot; interest rate per month&quot;"/>
    <numFmt numFmtId="345" formatCode="0.0000&quot; interest rate per month&quot;"/>
    <numFmt numFmtId="346" formatCode="&quot;$&quot;#,##0.0000"/>
  </numFmts>
  <fonts count="28">
    <font>
      <sz val="10"/>
      <name val="Times New Roman"/>
      <family val="0"/>
    </font>
    <font>
      <sz val="10"/>
      <name val="MS Sans Serif"/>
      <family val="0"/>
    </font>
    <font>
      <sz val="10"/>
      <name val="Helv"/>
      <family val="0"/>
    </font>
    <font>
      <u val="single"/>
      <sz val="10"/>
      <color indexed="12"/>
      <name val="Times New Roman"/>
      <family val="0"/>
    </font>
    <font>
      <sz val="12"/>
      <name val="Helv"/>
      <family val="0"/>
    </font>
    <font>
      <sz val="10"/>
      <name val="Tms Rmn"/>
      <family val="0"/>
    </font>
    <font>
      <sz val="10"/>
      <name val="Courier"/>
      <family val="0"/>
    </font>
    <font>
      <sz val="10"/>
      <name val="Arial"/>
      <family val="0"/>
    </font>
    <font>
      <sz val="10"/>
      <name val="CG Times (E1)"/>
      <family val="0"/>
    </font>
    <font>
      <u val="single"/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12"/>
      <name val="Times New Roman"/>
      <family val="1"/>
    </font>
    <font>
      <b/>
      <sz val="8.5"/>
      <color indexed="12"/>
      <name val="Times New Roman"/>
      <family val="1"/>
    </font>
    <font>
      <sz val="8.5"/>
      <color indexed="8"/>
      <name val="Times New Roman"/>
      <family val="1"/>
    </font>
    <font>
      <b/>
      <sz val="11"/>
      <color indexed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u val="single"/>
      <sz val="10"/>
      <color indexed="16"/>
      <name val="Times New Roman"/>
      <family val="1"/>
    </font>
    <font>
      <sz val="10"/>
      <color indexed="16"/>
      <name val="Times New Roman"/>
      <family val="1"/>
    </font>
    <font>
      <b/>
      <u val="single"/>
      <sz val="10"/>
      <color indexed="16"/>
      <name val="Times New Roman"/>
      <family val="1"/>
    </font>
    <font>
      <u val="single"/>
      <sz val="10"/>
      <color indexed="53"/>
      <name val="Times New Roman"/>
      <family val="1"/>
    </font>
    <font>
      <sz val="10"/>
      <color indexed="53"/>
      <name val="Times New Roman"/>
      <family val="1"/>
    </font>
    <font>
      <u val="single"/>
      <sz val="10"/>
      <color indexed="17"/>
      <name val="Times New Roman"/>
      <family val="1"/>
    </font>
    <font>
      <sz val="10"/>
      <color indexed="17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" fontId="2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" fontId="2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4" fontId="4" fillId="0" borderId="0">
      <alignment/>
      <protection/>
    </xf>
    <xf numFmtId="0" fontId="5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5" fontId="6" fillId="0" borderId="0">
      <alignment/>
      <protection/>
    </xf>
    <xf numFmtId="164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6" fillId="0" borderId="0">
      <alignment/>
      <protection/>
    </xf>
    <xf numFmtId="0" fontId="0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0" fontId="1" fillId="0" borderId="0">
      <alignment/>
      <protection/>
    </xf>
    <xf numFmtId="164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0" fillId="0" borderId="0">
      <alignment/>
      <protection/>
    </xf>
    <xf numFmtId="164" fontId="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0" fontId="0" fillId="0" borderId="0">
      <alignment/>
      <protection/>
    </xf>
    <xf numFmtId="164" fontId="6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 quotePrefix="1">
      <alignment/>
    </xf>
    <xf numFmtId="164" fontId="9" fillId="0" borderId="0" xfId="102" applyFont="1" applyBorder="1" applyAlignment="1">
      <alignment horizontal="right"/>
      <protection/>
    </xf>
    <xf numFmtId="164" fontId="9" fillId="0" borderId="0" xfId="102" applyFont="1" applyBorder="1" applyAlignment="1">
      <alignment horizontal="center"/>
      <protection/>
    </xf>
    <xf numFmtId="164" fontId="0" fillId="0" borderId="1" xfId="102" applyFont="1" applyBorder="1" applyAlignment="1">
      <alignment horizontal="center"/>
      <protection/>
    </xf>
    <xf numFmtId="164" fontId="0" fillId="0" borderId="2" xfId="102" applyFont="1" applyBorder="1" applyAlignment="1">
      <alignment horizontal="center"/>
      <protection/>
    </xf>
    <xf numFmtId="164" fontId="0" fillId="0" borderId="3" xfId="102" applyFont="1" applyBorder="1" applyAlignment="1">
      <alignment horizontal="center"/>
      <protection/>
    </xf>
    <xf numFmtId="0" fontId="0" fillId="0" borderId="0" xfId="0" applyBorder="1" applyAlignment="1">
      <alignment/>
    </xf>
    <xf numFmtId="164" fontId="0" fillId="0" borderId="0" xfId="102" applyFont="1" applyBorder="1">
      <alignment/>
      <protection/>
    </xf>
    <xf numFmtId="3" fontId="0" fillId="0" borderId="0" xfId="15" applyNumberFormat="1" applyFont="1" applyBorder="1" applyAlignment="1">
      <alignment/>
    </xf>
    <xf numFmtId="204" fontId="0" fillId="0" borderId="0" xfId="15" applyNumberFormat="1" applyFont="1" applyBorder="1" applyAlignment="1">
      <alignment/>
    </xf>
    <xf numFmtId="204" fontId="11" fillId="0" borderId="1" xfId="102" applyNumberFormat="1" applyFont="1" applyBorder="1">
      <alignment/>
      <protection/>
    </xf>
    <xf numFmtId="204" fontId="11" fillId="0" borderId="2" xfId="102" applyNumberFormat="1" applyFont="1" applyBorder="1">
      <alignment/>
      <protection/>
    </xf>
    <xf numFmtId="173" fontId="11" fillId="0" borderId="3" xfId="102" applyNumberFormat="1" applyFont="1" applyBorder="1" applyAlignment="1">
      <alignment horizontal="center"/>
      <protection/>
    </xf>
    <xf numFmtId="204" fontId="11" fillId="0" borderId="4" xfId="102" applyNumberFormat="1" applyFont="1" applyBorder="1">
      <alignment/>
      <protection/>
    </xf>
    <xf numFmtId="204" fontId="11" fillId="0" borderId="0" xfId="102" applyNumberFormat="1" applyFont="1" applyBorder="1">
      <alignment/>
      <protection/>
    </xf>
    <xf numFmtId="173" fontId="11" fillId="0" borderId="5" xfId="102" applyNumberFormat="1" applyFont="1" applyBorder="1" applyAlignment="1">
      <alignment horizontal="center"/>
      <protection/>
    </xf>
    <xf numFmtId="0" fontId="0" fillId="0" borderId="6" xfId="0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0" fillId="0" borderId="6" xfId="0" applyFont="1" applyBorder="1" applyAlignment="1">
      <alignment/>
    </xf>
    <xf numFmtId="164" fontId="14" fillId="0" borderId="7" xfId="102" applyFont="1" applyBorder="1" applyAlignment="1">
      <alignment horizontal="center"/>
      <protection/>
    </xf>
    <xf numFmtId="3" fontId="11" fillId="0" borderId="7" xfId="15" applyNumberFormat="1" applyFont="1" applyBorder="1" applyAlignment="1">
      <alignment horizontal="center"/>
    </xf>
    <xf numFmtId="204" fontId="11" fillId="0" borderId="8" xfId="102" applyNumberFormat="1" applyFont="1" applyBorder="1">
      <alignment/>
      <protection/>
    </xf>
    <xf numFmtId="204" fontId="11" fillId="0" borderId="9" xfId="102" applyNumberFormat="1" applyFont="1" applyBorder="1">
      <alignment/>
      <protection/>
    </xf>
    <xf numFmtId="173" fontId="11" fillId="0" borderId="10" xfId="102" applyNumberFormat="1" applyFont="1" applyBorder="1" applyAlignment="1">
      <alignment horizontal="center"/>
      <protection/>
    </xf>
    <xf numFmtId="3" fontId="11" fillId="0" borderId="11" xfId="15" applyNumberFormat="1" applyFont="1" applyBorder="1" applyAlignment="1">
      <alignment horizontal="center"/>
    </xf>
    <xf numFmtId="164" fontId="0" fillId="0" borderId="0" xfId="102">
      <alignment/>
      <protection/>
    </xf>
    <xf numFmtId="164" fontId="0" fillId="0" borderId="0" xfId="102" applyBorder="1">
      <alignment/>
      <protection/>
    </xf>
    <xf numFmtId="3" fontId="0" fillId="0" borderId="0" xfId="0" applyNumberFormat="1" applyAlignment="1">
      <alignment/>
    </xf>
    <xf numFmtId="334" fontId="0" fillId="0" borderId="0" xfId="0" applyNumberFormat="1" applyAlignment="1">
      <alignment/>
    </xf>
    <xf numFmtId="297" fontId="15" fillId="0" borderId="7" xfId="102" applyNumberFormat="1" applyFont="1" applyBorder="1" applyAlignment="1">
      <alignment horizontal="center"/>
      <protection/>
    </xf>
    <xf numFmtId="204" fontId="16" fillId="0" borderId="7" xfId="102" applyNumberFormat="1" applyFont="1" applyBorder="1" applyAlignment="1">
      <alignment horizontal="center"/>
      <protection/>
    </xf>
    <xf numFmtId="173" fontId="15" fillId="0" borderId="7" xfId="128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204" fontId="10" fillId="0" borderId="0" xfId="0" applyNumberFormat="1" applyFont="1" applyBorder="1" applyAlignment="1">
      <alignment horizontal="center"/>
    </xf>
    <xf numFmtId="204" fontId="0" fillId="0" borderId="0" xfId="0" applyNumberFormat="1" applyAlignment="1">
      <alignment/>
    </xf>
    <xf numFmtId="0" fontId="15" fillId="0" borderId="0" xfId="0" applyFont="1" applyAlignment="1">
      <alignment/>
    </xf>
    <xf numFmtId="173" fontId="15" fillId="0" borderId="7" xfId="102" applyNumberFormat="1" applyFont="1" applyBorder="1" applyAlignment="1">
      <alignment horizontal="center"/>
      <protection/>
    </xf>
    <xf numFmtId="0" fontId="10" fillId="0" borderId="6" xfId="0" applyFont="1" applyBorder="1" applyAlignment="1">
      <alignment horizontal="center"/>
    </xf>
    <xf numFmtId="204" fontId="19" fillId="2" borderId="12" xfId="15" applyNumberFormat="1" applyFont="1" applyFill="1" applyBorder="1" applyAlignment="1">
      <alignment horizontal="center"/>
    </xf>
    <xf numFmtId="10" fontId="18" fillId="2" borderId="11" xfId="0" applyNumberFormat="1" applyFont="1" applyFill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5" fillId="2" borderId="0" xfId="0" applyFont="1" applyFill="1" applyAlignment="1">
      <alignment horizontal="centerContinuous"/>
    </xf>
    <xf numFmtId="204" fontId="13" fillId="2" borderId="12" xfId="15" applyNumberFormat="1" applyFont="1" applyFill="1" applyBorder="1" applyAlignment="1">
      <alignment horizontal="center"/>
    </xf>
    <xf numFmtId="10" fontId="10" fillId="0" borderId="11" xfId="0" applyNumberFormat="1" applyFont="1" applyBorder="1" applyAlignment="1">
      <alignment horizontal="center"/>
    </xf>
    <xf numFmtId="173" fontId="20" fillId="0" borderId="11" xfId="102" applyNumberFormat="1" applyFont="1" applyBorder="1" applyAlignment="1">
      <alignment horizontal="center"/>
      <protection/>
    </xf>
    <xf numFmtId="3" fontId="0" fillId="0" borderId="0" xfId="0" applyNumberForma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/>
    </xf>
    <xf numFmtId="9" fontId="0" fillId="0" borderId="0" xfId="0" applyNumberFormat="1" applyAlignment="1">
      <alignment horizontal="left"/>
    </xf>
    <xf numFmtId="10" fontId="0" fillId="0" borderId="0" xfId="0" applyNumberFormat="1" applyAlignment="1">
      <alignment/>
    </xf>
    <xf numFmtId="204" fontId="11" fillId="0" borderId="13" xfId="102" applyNumberFormat="1" applyFont="1" applyBorder="1">
      <alignment/>
      <protection/>
    </xf>
    <xf numFmtId="164" fontId="12" fillId="3" borderId="0" xfId="102" applyFont="1" applyFill="1" applyAlignment="1">
      <alignment horizontal="center"/>
      <protection/>
    </xf>
    <xf numFmtId="0" fontId="21" fillId="0" borderId="0" xfId="0" applyFont="1" applyAlignment="1">
      <alignment horizontal="center"/>
    </xf>
    <xf numFmtId="204" fontId="22" fillId="0" borderId="0" xfId="0" applyNumberFormat="1" applyFont="1" applyAlignment="1">
      <alignment horizontal="center"/>
    </xf>
    <xf numFmtId="0" fontId="0" fillId="0" borderId="7" xfId="0" applyFont="1" applyBorder="1" applyAlignment="1">
      <alignment horizontal="center"/>
    </xf>
    <xf numFmtId="285" fontId="0" fillId="0" borderId="0" xfId="0" applyNumberFormat="1" applyAlignment="1">
      <alignment/>
    </xf>
    <xf numFmtId="0" fontId="0" fillId="0" borderId="7" xfId="0" applyBorder="1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14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342" fontId="22" fillId="0" borderId="0" xfId="0" applyNumberFormat="1" applyFont="1" applyAlignment="1">
      <alignment horizontal="center"/>
    </xf>
    <xf numFmtId="345" fontId="22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3" fontId="22" fillId="0" borderId="0" xfId="15" applyNumberFormat="1" applyFont="1" applyBorder="1" applyAlignment="1">
      <alignment/>
    </xf>
    <xf numFmtId="3" fontId="25" fillId="0" borderId="0" xfId="15" applyNumberFormat="1" applyFont="1" applyBorder="1" applyAlignment="1">
      <alignment/>
    </xf>
    <xf numFmtId="3" fontId="27" fillId="0" borderId="0" xfId="15" applyNumberFormat="1" applyFont="1" applyBorder="1" applyAlignment="1">
      <alignment/>
    </xf>
    <xf numFmtId="3" fontId="15" fillId="0" borderId="0" xfId="0" applyNumberFormat="1" applyFont="1" applyAlignment="1">
      <alignment horizontal="center"/>
    </xf>
    <xf numFmtId="285" fontId="17" fillId="0" borderId="11" xfId="102" applyNumberFormat="1" applyFont="1" applyBorder="1" applyAlignment="1">
      <alignment horizontal="center"/>
      <protection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</cellXfs>
  <cellStyles count="115">
    <cellStyle name="Normal" xfId="0"/>
    <cellStyle name="Comma" xfId="15"/>
    <cellStyle name="Comma [0]" xfId="16"/>
    <cellStyle name="Comma [0]_AA_CHART" xfId="17"/>
    <cellStyle name="Comma [0]_ASST_PIE" xfId="18"/>
    <cellStyle name="Comma [0]_AT&amp;RT_A" xfId="19"/>
    <cellStyle name="Comma [0]_ATSUMM" xfId="20"/>
    <cellStyle name="Comma [0]_CALD_RTN" xfId="21"/>
    <cellStyle name="Comma [0]_ENDOW" xfId="22"/>
    <cellStyle name="Comma [0]_HRGLASS" xfId="23"/>
    <cellStyle name="Comma [0]_HRGLASS (2)" xfId="24"/>
    <cellStyle name="Comma [0]_MEMO" xfId="25"/>
    <cellStyle name="Comma [0]_TF_FY" xfId="26"/>
    <cellStyle name="Comma_AA" xfId="27"/>
    <cellStyle name="Comma_AA_CHART" xfId="28"/>
    <cellStyle name="Comma_ASST_PIE" xfId="29"/>
    <cellStyle name="Comma_AT&amp;RT_A" xfId="30"/>
    <cellStyle name="Comma_ATSUMM" xfId="31"/>
    <cellStyle name="Comma_CALD_RTN" xfId="32"/>
    <cellStyle name="Comma_ENDOW" xfId="33"/>
    <cellStyle name="Comma_HRGLASS" xfId="34"/>
    <cellStyle name="Comma_HRGLASS (2)" xfId="35"/>
    <cellStyle name="Comma_MEMO" xfId="36"/>
    <cellStyle name="Comma_TF" xfId="37"/>
    <cellStyle name="Comma_TF_FY" xfId="38"/>
    <cellStyle name="Comma_TF_FY_1" xfId="39"/>
    <cellStyle name="Comma_TF_PERF" xfId="40"/>
    <cellStyle name="Currency" xfId="41"/>
    <cellStyle name="Currency [0]" xfId="42"/>
    <cellStyle name="Currency [0]_AA_CHART" xfId="43"/>
    <cellStyle name="Currency [0]_ASST_PIE" xfId="44"/>
    <cellStyle name="Currency [0]_AT&amp;RT_A" xfId="45"/>
    <cellStyle name="Currency [0]_ATSUMM" xfId="46"/>
    <cellStyle name="Currency [0]_CALD_RTN" xfId="47"/>
    <cellStyle name="Currency [0]_ENDOW" xfId="48"/>
    <cellStyle name="Currency [0]_HRGLASS" xfId="49"/>
    <cellStyle name="Currency [0]_HRGLASS (2)" xfId="50"/>
    <cellStyle name="Currency [0]_MEMO" xfId="51"/>
    <cellStyle name="Currency [0]_TF_FY" xfId="52"/>
    <cellStyle name="Currency_AA" xfId="53"/>
    <cellStyle name="Currency_AA_CHART" xfId="54"/>
    <cellStyle name="Currency_ASST_PIE" xfId="55"/>
    <cellStyle name="Currency_AT&amp;RT_A" xfId="56"/>
    <cellStyle name="Currency_ATSUMM" xfId="57"/>
    <cellStyle name="Currency_CALD_RTN" xfId="58"/>
    <cellStyle name="Currency_ENDOW" xfId="59"/>
    <cellStyle name="Currency_HRGLASS" xfId="60"/>
    <cellStyle name="Currency_HRGLASS (2)" xfId="61"/>
    <cellStyle name="Currency_MEMO" xfId="62"/>
    <cellStyle name="Currency_TF_FY" xfId="63"/>
    <cellStyle name="Hyperlink" xfId="64"/>
    <cellStyle name="Normal_A" xfId="65"/>
    <cellStyle name="Normal_AA" xfId="66"/>
    <cellStyle name="Normal_AA_CHART" xfId="67"/>
    <cellStyle name="Normal_AA_SCHDT" xfId="68"/>
    <cellStyle name="Normal_Add these in!" xfId="69"/>
    <cellStyle name="Normal_ALT. ASSETS" xfId="70"/>
    <cellStyle name="Normal_Anchor" xfId="71"/>
    <cellStyle name="Normal_Asset Allocation" xfId="72"/>
    <cellStyle name="Normal_AT&amp;RT_A" xfId="73"/>
    <cellStyle name="Normal_ATSUMM" xfId="74"/>
    <cellStyle name="Normal_Book1" xfId="75"/>
    <cellStyle name="Normal_Budget Tracker" xfId="76"/>
    <cellStyle name="Normal_Budget Tracker (New)" xfId="77"/>
    <cellStyle name="Normal_CLEV_INC" xfId="78"/>
    <cellStyle name="Normal_Cover Page" xfId="79"/>
    <cellStyle name="Normal_Custom" xfId="80"/>
    <cellStyle name="Normal_Data" xfId="81"/>
    <cellStyle name="Normal_Data conversion file2" xfId="82"/>
    <cellStyle name="Normal_DISTRMD" xfId="83"/>
    <cellStyle name="Normal_Dollar Values" xfId="84"/>
    <cellStyle name="Normal_ENDOW" xfId="85"/>
    <cellStyle name="Normal_EVTARBMD" xfId="86"/>
    <cellStyle name="Normal_Exhibit 21" xfId="87"/>
    <cellStyle name="Normal_FIARBMD" xfId="88"/>
    <cellStyle name="Normal_Fresh Foundation AA" xfId="89"/>
    <cellStyle name="Normal_Fresh Foundation Perf." xfId="90"/>
    <cellStyle name="Normal_FRONTQTR" xfId="91"/>
    <cellStyle name="Normal_GLMCHFMD" xfId="92"/>
    <cellStyle name="Normal_HBR_EQ" xfId="93"/>
    <cellStyle name="Normal_INVESTMENTS" xfId="94"/>
    <cellStyle name="Normal_IRA401K" xfId="95"/>
    <cellStyle name="Normal_Korea Analysis" xfId="96"/>
    <cellStyle name="Normal_MBA Investment Calculator" xfId="97"/>
    <cellStyle name="Normal_Mgr. AACR StDev. Exhibit" xfId="98"/>
    <cellStyle name="Normal_Misc Totals" xfId="99"/>
    <cellStyle name="Normal_NET EQUITY" xfId="100"/>
    <cellStyle name="Normal_NET FIXED INCOME" xfId="101"/>
    <cellStyle name="Normal_New IRS (use this)" xfId="102"/>
    <cellStyle name="Normal_NewIRS (usethis) " xfId="103"/>
    <cellStyle name="Normal_Pie Chart" xfId="104"/>
    <cellStyle name="Normal_Pie Charts" xfId="105"/>
    <cellStyle name="Normal_PRCIP_GR" xfId="106"/>
    <cellStyle name="Normal_PRI_GR" xfId="107"/>
    <cellStyle name="Normal_PRIN_GRO" xfId="108"/>
    <cellStyle name="Normal_RECM87" xfId="109"/>
    <cellStyle name="Normal_RECUM" xfId="110"/>
    <cellStyle name="Normal_Rent vs Buy" xfId="111"/>
    <cellStyle name="Normal_RERANK" xfId="112"/>
    <cellStyle name="Normal_Risk Return Exhibit" xfId="113"/>
    <cellStyle name="Normal_Russia Analysis" xfId="114"/>
    <cellStyle name="Normal_Sheet1" xfId="115"/>
    <cellStyle name="Normal_Sheet4" xfId="116"/>
    <cellStyle name="Normal_SHSELLMD" xfId="117"/>
    <cellStyle name="Normal_SMCO90" xfId="118"/>
    <cellStyle name="Normal_SMT_GR" xfId="119"/>
    <cellStyle name="Normal_SMT_VAL" xfId="120"/>
    <cellStyle name="Normal_TF" xfId="121"/>
    <cellStyle name="Normal_TF_FY" xfId="122"/>
    <cellStyle name="Normal_TF_FY_1" xfId="123"/>
    <cellStyle name="Normal_TF_PERF" xfId="124"/>
    <cellStyle name="Normal_to email" xfId="125"/>
    <cellStyle name="Normal_TOTAL" xfId="126"/>
    <cellStyle name="Normal_Total Portfolio" xfId="127"/>
    <cellStyle name="Percent" xfId="128"/>
  </cellStyles>
  <dxfs count="1">
    <dxf>
      <font>
        <b/>
        <i val="0"/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E42"/>
  <sheetViews>
    <sheetView tabSelected="1" zoomScale="80" zoomScaleNormal="80" workbookViewId="0" topLeftCell="A1">
      <selection activeCell="M10" sqref="M10"/>
    </sheetView>
  </sheetViews>
  <sheetFormatPr defaultColWidth="9.33203125" defaultRowHeight="12.75"/>
  <cols>
    <col min="1" max="1" width="1.0078125" style="0" customWidth="1"/>
    <col min="2" max="2" width="4.83203125" style="0" customWidth="1"/>
    <col min="3" max="3" width="14.83203125" style="0" customWidth="1"/>
    <col min="4" max="4" width="9.5" style="0" bestFit="1" customWidth="1"/>
    <col min="5" max="5" width="11.83203125" style="0" customWidth="1"/>
    <col min="6" max="7" width="12.83203125" style="0" customWidth="1"/>
    <col min="8" max="8" width="1.83203125" style="0" customWidth="1"/>
    <col min="9" max="9" width="18.83203125" style="0" customWidth="1"/>
    <col min="10" max="10" width="14.83203125" style="0" customWidth="1"/>
    <col min="11" max="11" width="12.83203125" style="0" customWidth="1"/>
    <col min="12" max="12" width="1.0078125" style="0" customWidth="1"/>
    <col min="13" max="13" width="17.83203125" style="0" customWidth="1"/>
    <col min="14" max="14" width="21.33203125" style="0" customWidth="1"/>
    <col min="15" max="15" width="1.0078125" style="0" customWidth="1"/>
    <col min="16" max="16" width="40.83203125" style="0" customWidth="1"/>
    <col min="21" max="56" width="10.83203125" style="0" customWidth="1"/>
    <col min="57" max="57" width="10.83203125" style="0" bestFit="1" customWidth="1"/>
  </cols>
  <sheetData>
    <row r="1" spans="14:15" ht="1.5" customHeight="1">
      <c r="N1" s="1" t="s">
        <v>0</v>
      </c>
      <c r="O1" s="1" t="s">
        <v>0</v>
      </c>
    </row>
    <row r="2" spans="2:57" ht="12" customHeight="1"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3" t="s">
        <v>6</v>
      </c>
      <c r="H2" s="3"/>
      <c r="I2" s="4" t="s">
        <v>7</v>
      </c>
      <c r="J2" s="5" t="s">
        <v>8</v>
      </c>
      <c r="K2" s="6" t="s">
        <v>16</v>
      </c>
      <c r="L2" s="7"/>
      <c r="M2" s="73" t="s">
        <v>9</v>
      </c>
      <c r="N2" s="74"/>
      <c r="U2" s="66" t="s">
        <v>47</v>
      </c>
      <c r="V2" s="64" t="s">
        <v>48</v>
      </c>
      <c r="W2" s="65" t="s">
        <v>49</v>
      </c>
      <c r="X2" s="53" t="s">
        <v>50</v>
      </c>
      <c r="Y2" s="64" t="s">
        <v>48</v>
      </c>
      <c r="Z2" s="65" t="s">
        <v>49</v>
      </c>
      <c r="AA2" s="53" t="s">
        <v>50</v>
      </c>
      <c r="AB2" s="64" t="s">
        <v>48</v>
      </c>
      <c r="AC2" s="65" t="s">
        <v>49</v>
      </c>
      <c r="AD2" s="53" t="s">
        <v>50</v>
      </c>
      <c r="AE2" s="64" t="s">
        <v>48</v>
      </c>
      <c r="AF2" s="65" t="s">
        <v>49</v>
      </c>
      <c r="AG2" s="53" t="s">
        <v>50</v>
      </c>
      <c r="AH2" s="64" t="s">
        <v>48</v>
      </c>
      <c r="AI2" s="65" t="s">
        <v>49</v>
      </c>
      <c r="AJ2" s="53" t="s">
        <v>50</v>
      </c>
      <c r="AK2" s="64" t="s">
        <v>48</v>
      </c>
      <c r="AL2" s="65" t="s">
        <v>49</v>
      </c>
      <c r="AM2" s="53" t="s">
        <v>50</v>
      </c>
      <c r="AN2" s="64" t="s">
        <v>48</v>
      </c>
      <c r="AO2" s="65" t="s">
        <v>49</v>
      </c>
      <c r="AP2" s="53" t="s">
        <v>50</v>
      </c>
      <c r="AQ2" s="64" t="s">
        <v>48</v>
      </c>
      <c r="AR2" s="65" t="s">
        <v>49</v>
      </c>
      <c r="AS2" s="53" t="s">
        <v>50</v>
      </c>
      <c r="AT2" s="64" t="s">
        <v>48</v>
      </c>
      <c r="AU2" s="65" t="s">
        <v>49</v>
      </c>
      <c r="AV2" s="53" t="s">
        <v>50</v>
      </c>
      <c r="AW2" s="64" t="s">
        <v>48</v>
      </c>
      <c r="AX2" s="65" t="s">
        <v>49</v>
      </c>
      <c r="AY2" s="53" t="s">
        <v>50</v>
      </c>
      <c r="AZ2" s="64" t="s">
        <v>48</v>
      </c>
      <c r="BA2" s="65" t="s">
        <v>49</v>
      </c>
      <c r="BB2" s="53" t="s">
        <v>50</v>
      </c>
      <c r="BC2" s="64" t="s">
        <v>48</v>
      </c>
      <c r="BD2" s="65" t="s">
        <v>49</v>
      </c>
      <c r="BE2" s="67" t="s">
        <v>6</v>
      </c>
    </row>
    <row r="3" spans="2:57" ht="12.75" customHeight="1">
      <c r="B3" s="8">
        <v>1</v>
      </c>
      <c r="C3" s="9">
        <f>M7</f>
        <v>300000</v>
      </c>
      <c r="D3" s="9">
        <f>V3+Y3+AB3+AE3+AH3+AK3+AN3+AQ3+AT3+AW3+AZ3+BC3</f>
        <v>22406.219025447892</v>
      </c>
      <c r="E3" s="9">
        <f>W3+Z3+AC3+AF3+AI3+AL3+AO3+AR3+AU3+AX3+BA3+BD3</f>
        <v>2765.5032824520977</v>
      </c>
      <c r="F3" s="10">
        <f aca="true" t="shared" si="0" ref="F3:F32">-PMT($P$6,$P$5,$C$3)*12</f>
        <v>25171.722307899992</v>
      </c>
      <c r="G3" s="10">
        <f aca="true" t="shared" si="1" ref="G3:G32">C3-E3</f>
        <v>297234.4967175479</v>
      </c>
      <c r="H3" s="10"/>
      <c r="I3" s="11">
        <f>N5*(1+M13)</f>
        <v>386250</v>
      </c>
      <c r="J3" s="12">
        <f>I3-G3</f>
        <v>89015.50328245212</v>
      </c>
      <c r="K3" s="13">
        <f aca="true" t="shared" si="2" ref="K3:K32">IF(C3&gt;0.1,J3/I3," ")</f>
        <v>0.23046084992220614</v>
      </c>
      <c r="L3" s="7"/>
      <c r="M3" s="42" t="s">
        <v>23</v>
      </c>
      <c r="N3" s="42"/>
      <c r="U3" s="68">
        <f>C3</f>
        <v>300000</v>
      </c>
      <c r="V3" s="69">
        <f aca="true" t="shared" si="3" ref="V3:V32">U3*$P$6</f>
        <v>1874.9999999999998</v>
      </c>
      <c r="W3" s="70">
        <f>$N$8-V3</f>
        <v>222.64352565833292</v>
      </c>
      <c r="X3" s="68">
        <f>U3-W3</f>
        <v>299777.35647434165</v>
      </c>
      <c r="Y3" s="69">
        <f aca="true" t="shared" si="4" ref="Y3:Y32">X3*$P$6</f>
        <v>1873.608477964635</v>
      </c>
      <c r="Z3" s="70">
        <f>$N$8-Y3</f>
        <v>224.0350476936976</v>
      </c>
      <c r="AA3" s="68">
        <f>X3-Z3</f>
        <v>299553.32142664795</v>
      </c>
      <c r="AB3" s="69">
        <f aca="true" t="shared" si="5" ref="AB3:AB32">AA3*$P$6</f>
        <v>1872.2082589165495</v>
      </c>
      <c r="AC3" s="70">
        <f>$N$8-AB3</f>
        <v>225.43526674178315</v>
      </c>
      <c r="AD3" s="68">
        <f>AA3-AC3</f>
        <v>299327.88615990616</v>
      </c>
      <c r="AE3" s="69">
        <f aca="true" t="shared" si="6" ref="AE3:AE32">AD3*$P$6</f>
        <v>1870.7992884994135</v>
      </c>
      <c r="AF3" s="70">
        <f>$N$8-AE3</f>
        <v>226.8442371589192</v>
      </c>
      <c r="AG3" s="68">
        <f>AD3-AF3</f>
        <v>299101.0419227472</v>
      </c>
      <c r="AH3" s="69">
        <f aca="true" t="shared" si="7" ref="AH3:AH32">AG3*$P$6</f>
        <v>1869.38151201717</v>
      </c>
      <c r="AI3" s="70">
        <f>$N$8-AH3</f>
        <v>228.26201364116264</v>
      </c>
      <c r="AJ3" s="68">
        <f>AG3-AI3</f>
        <v>298872.77990910603</v>
      </c>
      <c r="AK3" s="69">
        <f aca="true" t="shared" si="8" ref="AK3:AK32">AJ3*$P$6</f>
        <v>1867.9548744319125</v>
      </c>
      <c r="AL3" s="70">
        <f>$N$8-AK3</f>
        <v>229.68865122642023</v>
      </c>
      <c r="AM3" s="68">
        <f>AJ3-AL3</f>
        <v>298643.0912578796</v>
      </c>
      <c r="AN3" s="69">
        <f aca="true" t="shared" si="9" ref="AN3:AN32">AM3*$P$6</f>
        <v>1866.5193203617475</v>
      </c>
      <c r="AO3" s="70">
        <f>$N$8-AN3</f>
        <v>231.12420529658516</v>
      </c>
      <c r="AP3" s="68">
        <f>AM3-AO3</f>
        <v>298411.96705258306</v>
      </c>
      <c r="AQ3" s="69">
        <f aca="true" t="shared" si="10" ref="AQ3:AQ32">AP3*$P$6</f>
        <v>1865.074794078644</v>
      </c>
      <c r="AR3" s="70">
        <f>$N$8-AQ3</f>
        <v>232.5687315796888</v>
      </c>
      <c r="AS3" s="68">
        <f>AP3-AR3</f>
        <v>298179.39832100336</v>
      </c>
      <c r="AT3" s="69">
        <f aca="true" t="shared" si="11" ref="AT3:AT32">AS3*$P$6</f>
        <v>1863.621239506271</v>
      </c>
      <c r="AU3" s="70">
        <f>$N$8-AT3</f>
        <v>234.02228615206172</v>
      </c>
      <c r="AV3" s="68">
        <f>AS3-AU3</f>
        <v>297945.3760348513</v>
      </c>
      <c r="AW3" s="69">
        <f aca="true" t="shared" si="12" ref="AW3:AW32">AV3*$P$6</f>
        <v>1862.1586002178205</v>
      </c>
      <c r="AX3" s="70">
        <f>$N$8-AW3</f>
        <v>235.48492544051214</v>
      </c>
      <c r="AY3" s="68">
        <f>AV3-AX3</f>
        <v>297709.8911094108</v>
      </c>
      <c r="AZ3" s="69">
        <f aca="true" t="shared" si="13" ref="AZ3:AZ32">AY3*$P$6</f>
        <v>1860.6868194338174</v>
      </c>
      <c r="BA3" s="70">
        <f>$N$8-AZ3</f>
        <v>236.9567062245153</v>
      </c>
      <c r="BB3" s="68">
        <f>AY3-BA3</f>
        <v>297472.93440318626</v>
      </c>
      <c r="BC3" s="69">
        <f aca="true" t="shared" si="14" ref="BC3:BC32">BB3*$P$6</f>
        <v>1859.205840019914</v>
      </c>
      <c r="BD3" s="70">
        <f>$N$8-BC3</f>
        <v>238.43768563841877</v>
      </c>
      <c r="BE3" s="68">
        <f>BB3-BD3</f>
        <v>297234.4967175478</v>
      </c>
    </row>
    <row r="4" spans="2:57" ht="12.75" customHeight="1">
      <c r="B4" s="8">
        <f aca="true" t="shared" si="15" ref="B4:B32">IF(C4&lt;=0," ",(B3+1))</f>
        <v>2</v>
      </c>
      <c r="C4" s="9">
        <f aca="true" t="shared" si="16" ref="C4:C32">G3</f>
        <v>297234.4967175479</v>
      </c>
      <c r="D4" s="9">
        <f aca="true" t="shared" si="17" ref="D4:D32">V4+Y4+AB4+AE4+AH4+AK4+AN4+AQ4+AT4+AW4+AZ4+BC4</f>
        <v>22191.52581848625</v>
      </c>
      <c r="E4" s="9">
        <f aca="true" t="shared" si="18" ref="E4:E32">W4+Z4+AC4+AF4+AI4+AL4+AO4+AR4+AU4+AX4+BA4+BD4</f>
        <v>2980.1964894137373</v>
      </c>
      <c r="F4" s="10">
        <f t="shared" si="0"/>
        <v>25171.722307899992</v>
      </c>
      <c r="G4" s="10">
        <f t="shared" si="1"/>
        <v>294254.30022813415</v>
      </c>
      <c r="H4" s="9"/>
      <c r="I4" s="14">
        <f>IF(K3&gt;=0.9999999999," ",(I3*(1+$M$13)))</f>
        <v>397837.5</v>
      </c>
      <c r="J4" s="15">
        <f aca="true" t="shared" si="19" ref="J4:J32">IF(I4=" "," ",(I4-G4))</f>
        <v>103583.19977186585</v>
      </c>
      <c r="K4" s="16">
        <f t="shared" si="2"/>
        <v>0.26036560095985384</v>
      </c>
      <c r="L4" s="7"/>
      <c r="M4" s="17" t="s">
        <v>36</v>
      </c>
      <c r="N4" s="33" t="s">
        <v>15</v>
      </c>
      <c r="P4" s="61" t="s">
        <v>46</v>
      </c>
      <c r="U4" s="68">
        <f>BE3</f>
        <v>297234.4967175478</v>
      </c>
      <c r="V4" s="69">
        <f t="shared" si="3"/>
        <v>1857.7156044846738</v>
      </c>
      <c r="W4" s="70">
        <f aca="true" t="shared" si="20" ref="W4:W32">$N$8-V4</f>
        <v>239.9279211736589</v>
      </c>
      <c r="X4" s="68">
        <f aca="true" t="shared" si="21" ref="X4:X29">U4-W4</f>
        <v>296994.56879637414</v>
      </c>
      <c r="Y4" s="69">
        <f t="shared" si="4"/>
        <v>1856.2160549773382</v>
      </c>
      <c r="Z4" s="70">
        <f aca="true" t="shared" si="22" ref="Z4:Z32">$N$8-Y4</f>
        <v>241.42747068099447</v>
      </c>
      <c r="AA4" s="68">
        <f aca="true" t="shared" si="23" ref="AA4:AA29">X4-Z4</f>
        <v>296753.14132569317</v>
      </c>
      <c r="AB4" s="69">
        <f t="shared" si="5"/>
        <v>1854.7071332855821</v>
      </c>
      <c r="AC4" s="70">
        <f aca="true" t="shared" si="24" ref="AC4:AC32">$N$8-AB4</f>
        <v>242.93639237275056</v>
      </c>
      <c r="AD4" s="68">
        <f aca="true" t="shared" si="25" ref="AD4:AD29">AA4-AC4</f>
        <v>296510.2049333204</v>
      </c>
      <c r="AE4" s="69">
        <f t="shared" si="6"/>
        <v>1853.1887808332524</v>
      </c>
      <c r="AF4" s="70">
        <f aca="true" t="shared" si="26" ref="AF4:AF32">$N$8-AE4</f>
        <v>244.4547448250803</v>
      </c>
      <c r="AG4" s="68">
        <f aca="true" t="shared" si="27" ref="AG4:AG29">AD4-AF4</f>
        <v>296265.7501884953</v>
      </c>
      <c r="AH4" s="69">
        <f t="shared" si="7"/>
        <v>1851.6609386780956</v>
      </c>
      <c r="AI4" s="70">
        <f aca="true" t="shared" si="28" ref="AI4:AI32">$N$8-AH4</f>
        <v>245.9825869802371</v>
      </c>
      <c r="AJ4" s="68">
        <f aca="true" t="shared" si="29" ref="AJ4:AJ29">AG4-AI4</f>
        <v>296019.7676015151</v>
      </c>
      <c r="AK4" s="69">
        <f t="shared" si="8"/>
        <v>1850.1235475094693</v>
      </c>
      <c r="AL4" s="70">
        <f aca="true" t="shared" si="30" ref="AL4:AL32">$N$8-AK4</f>
        <v>247.5199781488634</v>
      </c>
      <c r="AM4" s="68">
        <f aca="true" t="shared" si="31" ref="AM4:AM29">AJ4-AL4</f>
        <v>295772.24762336625</v>
      </c>
      <c r="AN4" s="69">
        <f t="shared" si="9"/>
        <v>1848.576547646039</v>
      </c>
      <c r="AO4" s="70">
        <f aca="true" t="shared" si="32" ref="AO4:AO32">$N$8-AN4</f>
        <v>249.0669780122937</v>
      </c>
      <c r="AP4" s="68">
        <f aca="true" t="shared" si="33" ref="AP4:AP29">AM4-AO4</f>
        <v>295523.180645354</v>
      </c>
      <c r="AQ4" s="69">
        <f t="shared" si="10"/>
        <v>1847.0198790334623</v>
      </c>
      <c r="AR4" s="70">
        <f aca="true" t="shared" si="34" ref="AR4:AR32">$N$8-AQ4</f>
        <v>250.6236466248704</v>
      </c>
      <c r="AS4" s="68">
        <f aca="true" t="shared" si="35" ref="AS4:AS29">AP4-AR4</f>
        <v>295272.5569987291</v>
      </c>
      <c r="AT4" s="69">
        <f t="shared" si="11"/>
        <v>1845.4534812420568</v>
      </c>
      <c r="AU4" s="70">
        <f aca="true" t="shared" si="36" ref="AU4:AU32">$N$8-AT4</f>
        <v>252.1900444162759</v>
      </c>
      <c r="AV4" s="68">
        <f aca="true" t="shared" si="37" ref="AV4:AV29">AS4-AU4</f>
        <v>295020.36695431283</v>
      </c>
      <c r="AW4" s="69">
        <f t="shared" si="12"/>
        <v>1843.877293464455</v>
      </c>
      <c r="AX4" s="70">
        <f aca="true" t="shared" si="38" ref="AX4:AX32">$N$8-AW4</f>
        <v>253.7662321938776</v>
      </c>
      <c r="AY4" s="68">
        <f aca="true" t="shared" si="39" ref="AY4:AY29">AV4-AX4</f>
        <v>294766.600722119</v>
      </c>
      <c r="AZ4" s="69">
        <f t="shared" si="13"/>
        <v>1842.2912545132435</v>
      </c>
      <c r="BA4" s="70">
        <f aca="true" t="shared" si="40" ref="BA4:BA32">$N$8-AZ4</f>
        <v>255.35227114508916</v>
      </c>
      <c r="BB4" s="68">
        <f aca="true" t="shared" si="41" ref="BB4:BB29">AY4-BA4</f>
        <v>294511.2484509739</v>
      </c>
      <c r="BC4" s="69">
        <f t="shared" si="14"/>
        <v>1840.6953028185867</v>
      </c>
      <c r="BD4" s="70">
        <f aca="true" t="shared" si="42" ref="BD4:BD32">$N$8-BC4</f>
        <v>256.948222839746</v>
      </c>
      <c r="BE4" s="68">
        <f aca="true" t="shared" si="43" ref="BE4:BE29">BB4-BD4</f>
        <v>294254.30022813415</v>
      </c>
    </row>
    <row r="5" spans="2:57" ht="12.75" customHeight="1">
      <c r="B5" s="8">
        <f t="shared" si="15"/>
        <v>3</v>
      </c>
      <c r="C5" s="9">
        <f t="shared" si="16"/>
        <v>294254.30022813415</v>
      </c>
      <c r="D5" s="9">
        <f t="shared" si="17"/>
        <v>21960.16541991145</v>
      </c>
      <c r="E5" s="9">
        <f t="shared" si="18"/>
        <v>3211.5568879885404</v>
      </c>
      <c r="F5" s="10">
        <f t="shared" si="0"/>
        <v>25171.722307899992</v>
      </c>
      <c r="G5" s="10">
        <f t="shared" si="1"/>
        <v>291042.7433401456</v>
      </c>
      <c r="H5" s="9"/>
      <c r="I5" s="14">
        <f aca="true" t="shared" si="44" ref="I5:I32">IF(K4&gt;=0.9999999999," ",(I4*(1+$M$13)))</f>
        <v>409772.625</v>
      </c>
      <c r="J5" s="15">
        <f t="shared" si="19"/>
        <v>118729.88165985438</v>
      </c>
      <c r="K5" s="16">
        <f t="shared" si="2"/>
        <v>0.2897457624453424</v>
      </c>
      <c r="L5" s="7"/>
      <c r="M5" s="30">
        <v>30</v>
      </c>
      <c r="N5" s="34">
        <f>M7+M9</f>
        <v>375000</v>
      </c>
      <c r="P5" s="62">
        <f>M5*12</f>
        <v>360</v>
      </c>
      <c r="T5" s="35"/>
      <c r="U5" s="68">
        <f aca="true" t="shared" si="45" ref="U5:U32">BE4</f>
        <v>294254.30022813415</v>
      </c>
      <c r="V5" s="69">
        <f t="shared" si="3"/>
        <v>1839.0893764258383</v>
      </c>
      <c r="W5" s="70">
        <f t="shared" si="20"/>
        <v>258.5541492324944</v>
      </c>
      <c r="X5" s="68">
        <f t="shared" si="21"/>
        <v>293995.74607890163</v>
      </c>
      <c r="Y5" s="69">
        <f t="shared" si="4"/>
        <v>1837.473412993135</v>
      </c>
      <c r="Z5" s="70">
        <f t="shared" si="22"/>
        <v>260.1701126651976</v>
      </c>
      <c r="AA5" s="68">
        <f t="shared" si="23"/>
        <v>293735.5759662364</v>
      </c>
      <c r="AB5" s="69">
        <f t="shared" si="5"/>
        <v>1835.8473497889775</v>
      </c>
      <c r="AC5" s="70">
        <f t="shared" si="24"/>
        <v>261.79617586935524</v>
      </c>
      <c r="AD5" s="68">
        <f t="shared" si="25"/>
        <v>293473.77979036706</v>
      </c>
      <c r="AE5" s="69">
        <f t="shared" si="6"/>
        <v>1834.211123689794</v>
      </c>
      <c r="AF5" s="70">
        <f t="shared" si="26"/>
        <v>263.43240196853867</v>
      </c>
      <c r="AG5" s="68">
        <f t="shared" si="27"/>
        <v>293210.34738839854</v>
      </c>
      <c r="AH5" s="69">
        <f t="shared" si="7"/>
        <v>1832.5646711774907</v>
      </c>
      <c r="AI5" s="70">
        <f t="shared" si="28"/>
        <v>265.078854480842</v>
      </c>
      <c r="AJ5" s="68">
        <f t="shared" si="29"/>
        <v>292945.2685339177</v>
      </c>
      <c r="AK5" s="69">
        <f t="shared" si="8"/>
        <v>1830.9079283369856</v>
      </c>
      <c r="AL5" s="70">
        <f t="shared" si="30"/>
        <v>266.7355973213471</v>
      </c>
      <c r="AM5" s="68">
        <f t="shared" si="31"/>
        <v>292678.53293659637</v>
      </c>
      <c r="AN5" s="69">
        <f t="shared" si="9"/>
        <v>1829.2408308537272</v>
      </c>
      <c r="AO5" s="70">
        <f t="shared" si="32"/>
        <v>268.4026948046055</v>
      </c>
      <c r="AP5" s="68">
        <f t="shared" si="33"/>
        <v>292410.1302417918</v>
      </c>
      <c r="AQ5" s="69">
        <f t="shared" si="10"/>
        <v>1827.5633140111984</v>
      </c>
      <c r="AR5" s="70">
        <f t="shared" si="34"/>
        <v>270.0802116471343</v>
      </c>
      <c r="AS5" s="68">
        <f t="shared" si="35"/>
        <v>292140.05003014463</v>
      </c>
      <c r="AT5" s="69">
        <f t="shared" si="11"/>
        <v>1825.8753126884037</v>
      </c>
      <c r="AU5" s="70">
        <f t="shared" si="36"/>
        <v>271.768212969929</v>
      </c>
      <c r="AV5" s="68">
        <f t="shared" si="37"/>
        <v>291868.2818171747</v>
      </c>
      <c r="AW5" s="69">
        <f t="shared" si="12"/>
        <v>1824.1767613573418</v>
      </c>
      <c r="AX5" s="70">
        <f t="shared" si="38"/>
        <v>273.4667643009909</v>
      </c>
      <c r="AY5" s="68">
        <f t="shared" si="39"/>
        <v>291594.8150528737</v>
      </c>
      <c r="AZ5" s="69">
        <f t="shared" si="13"/>
        <v>1822.4675940804605</v>
      </c>
      <c r="BA5" s="70">
        <f t="shared" si="40"/>
        <v>275.17593157787223</v>
      </c>
      <c r="BB5" s="68">
        <f t="shared" si="41"/>
        <v>291319.6391212958</v>
      </c>
      <c r="BC5" s="69">
        <f t="shared" si="14"/>
        <v>1820.7477445080988</v>
      </c>
      <c r="BD5" s="70">
        <f t="shared" si="42"/>
        <v>276.8957811502339</v>
      </c>
      <c r="BE5" s="68">
        <f t="shared" si="43"/>
        <v>291042.74334014556</v>
      </c>
    </row>
    <row r="6" spans="2:57" ht="12.75" customHeight="1">
      <c r="B6" s="8">
        <f t="shared" si="15"/>
        <v>4</v>
      </c>
      <c r="C6" s="9">
        <f t="shared" si="16"/>
        <v>291042.7433401456</v>
      </c>
      <c r="D6" s="9">
        <f t="shared" si="17"/>
        <v>21710.84391232291</v>
      </c>
      <c r="E6" s="9">
        <f t="shared" si="18"/>
        <v>3460.87839557708</v>
      </c>
      <c r="F6" s="10">
        <f t="shared" si="0"/>
        <v>25171.722307899992</v>
      </c>
      <c r="G6" s="10">
        <f t="shared" si="1"/>
        <v>287581.86494456854</v>
      </c>
      <c r="H6" s="9"/>
      <c r="I6" s="14">
        <f t="shared" si="44"/>
        <v>422065.80375</v>
      </c>
      <c r="J6" s="15">
        <f t="shared" si="19"/>
        <v>134483.93880543148</v>
      </c>
      <c r="K6" s="16">
        <f t="shared" si="2"/>
        <v>0.31863263408349857</v>
      </c>
      <c r="L6" s="7"/>
      <c r="M6" s="18" t="s">
        <v>10</v>
      </c>
      <c r="N6" s="52" t="s">
        <v>24</v>
      </c>
      <c r="P6" s="63">
        <f>M11/12</f>
        <v>0.0062499999999999995</v>
      </c>
      <c r="U6" s="68">
        <f t="shared" si="45"/>
        <v>291042.74334014556</v>
      </c>
      <c r="V6" s="69">
        <f t="shared" si="3"/>
        <v>1819.0171458759096</v>
      </c>
      <c r="W6" s="70">
        <f t="shared" si="20"/>
        <v>278.6263797824231</v>
      </c>
      <c r="X6" s="68">
        <f t="shared" si="21"/>
        <v>290764.1169603631</v>
      </c>
      <c r="Y6" s="69">
        <f t="shared" si="4"/>
        <v>1817.2757310022694</v>
      </c>
      <c r="Z6" s="70">
        <f t="shared" si="22"/>
        <v>280.3677946560633</v>
      </c>
      <c r="AA6" s="68">
        <f t="shared" si="23"/>
        <v>290483.74916570703</v>
      </c>
      <c r="AB6" s="69">
        <f t="shared" si="5"/>
        <v>1815.5234322856688</v>
      </c>
      <c r="AC6" s="70">
        <f t="shared" si="24"/>
        <v>282.12009337266386</v>
      </c>
      <c r="AD6" s="68">
        <f t="shared" si="25"/>
        <v>290201.6290723344</v>
      </c>
      <c r="AE6" s="69">
        <f t="shared" si="6"/>
        <v>1813.7601817020898</v>
      </c>
      <c r="AF6" s="70">
        <f t="shared" si="26"/>
        <v>283.8833439562429</v>
      </c>
      <c r="AG6" s="68">
        <f t="shared" si="27"/>
        <v>289917.7457283781</v>
      </c>
      <c r="AH6" s="69">
        <f t="shared" si="7"/>
        <v>1811.9859108023632</v>
      </c>
      <c r="AI6" s="70">
        <f t="shared" si="28"/>
        <v>285.65761485596954</v>
      </c>
      <c r="AJ6" s="68">
        <f t="shared" si="29"/>
        <v>289632.08811352216</v>
      </c>
      <c r="AK6" s="69">
        <f t="shared" si="8"/>
        <v>1810.2005507095134</v>
      </c>
      <c r="AL6" s="70">
        <f t="shared" si="30"/>
        <v>287.44297494881926</v>
      </c>
      <c r="AM6" s="68">
        <f t="shared" si="31"/>
        <v>289344.6451385733</v>
      </c>
      <c r="AN6" s="69">
        <f t="shared" si="9"/>
        <v>1808.404032116083</v>
      </c>
      <c r="AO6" s="70">
        <f t="shared" si="32"/>
        <v>289.23949354224965</v>
      </c>
      <c r="AP6" s="68">
        <f t="shared" si="33"/>
        <v>289055.4056450311</v>
      </c>
      <c r="AQ6" s="69">
        <f t="shared" si="10"/>
        <v>1806.5962852814441</v>
      </c>
      <c r="AR6" s="70">
        <f t="shared" si="34"/>
        <v>291.04724037688857</v>
      </c>
      <c r="AS6" s="68">
        <f t="shared" si="35"/>
        <v>288764.3584046542</v>
      </c>
      <c r="AT6" s="69">
        <f t="shared" si="11"/>
        <v>1804.7772400290885</v>
      </c>
      <c r="AU6" s="70">
        <f t="shared" si="36"/>
        <v>292.8662856292442</v>
      </c>
      <c r="AV6" s="68">
        <f t="shared" si="37"/>
        <v>288471.492119025</v>
      </c>
      <c r="AW6" s="69">
        <f t="shared" si="12"/>
        <v>1802.946825743906</v>
      </c>
      <c r="AX6" s="70">
        <f t="shared" si="38"/>
        <v>294.69669991442674</v>
      </c>
      <c r="AY6" s="68">
        <f t="shared" si="39"/>
        <v>288176.79541911057</v>
      </c>
      <c r="AZ6" s="69">
        <f t="shared" si="13"/>
        <v>1801.1049713694408</v>
      </c>
      <c r="BA6" s="70">
        <f t="shared" si="40"/>
        <v>296.5385542888919</v>
      </c>
      <c r="BB6" s="68">
        <f t="shared" si="41"/>
        <v>287880.25686482165</v>
      </c>
      <c r="BC6" s="69">
        <f t="shared" si="14"/>
        <v>1799.2516054051353</v>
      </c>
      <c r="BD6" s="70">
        <f t="shared" si="42"/>
        <v>298.39192025319744</v>
      </c>
      <c r="BE6" s="68">
        <f t="shared" si="43"/>
        <v>287581.8649445685</v>
      </c>
    </row>
    <row r="7" spans="2:57" ht="12.75" customHeight="1" thickBot="1">
      <c r="B7" s="8">
        <f t="shared" si="15"/>
        <v>5</v>
      </c>
      <c r="C7" s="9">
        <f t="shared" si="16"/>
        <v>287581.86494456854</v>
      </c>
      <c r="D7" s="9">
        <f t="shared" si="17"/>
        <v>21442.16692814958</v>
      </c>
      <c r="E7" s="9">
        <f t="shared" si="18"/>
        <v>3729.5553797504135</v>
      </c>
      <c r="F7" s="10">
        <f t="shared" si="0"/>
        <v>25171.722307899992</v>
      </c>
      <c r="G7" s="10">
        <f t="shared" si="1"/>
        <v>283852.3095648181</v>
      </c>
      <c r="H7" s="9"/>
      <c r="I7" s="14">
        <f t="shared" si="44"/>
        <v>434727.77786250005</v>
      </c>
      <c r="J7" s="15">
        <f t="shared" si="19"/>
        <v>150875.46829768195</v>
      </c>
      <c r="K7" s="16">
        <f t="shared" si="2"/>
        <v>0.347057344804413</v>
      </c>
      <c r="L7" s="7"/>
      <c r="M7" s="31">
        <v>300000</v>
      </c>
      <c r="N7" s="52" t="s">
        <v>25</v>
      </c>
      <c r="U7" s="68">
        <f t="shared" si="45"/>
        <v>287581.8649445685</v>
      </c>
      <c r="V7" s="69">
        <f t="shared" si="3"/>
        <v>1797.386655903553</v>
      </c>
      <c r="W7" s="70">
        <f t="shared" si="20"/>
        <v>300.2568697547797</v>
      </c>
      <c r="X7" s="68">
        <f t="shared" si="21"/>
        <v>287281.60807481373</v>
      </c>
      <c r="Y7" s="69">
        <f t="shared" si="4"/>
        <v>1795.5100504675856</v>
      </c>
      <c r="Z7" s="70">
        <f t="shared" si="22"/>
        <v>302.13347519074705</v>
      </c>
      <c r="AA7" s="68">
        <f t="shared" si="23"/>
        <v>286979.474599623</v>
      </c>
      <c r="AB7" s="69">
        <f t="shared" si="5"/>
        <v>1793.6217162476437</v>
      </c>
      <c r="AC7" s="70">
        <f t="shared" si="24"/>
        <v>304.021809410689</v>
      </c>
      <c r="AD7" s="68">
        <f t="shared" si="25"/>
        <v>286675.4527902123</v>
      </c>
      <c r="AE7" s="69">
        <f t="shared" si="6"/>
        <v>1791.7215799388266</v>
      </c>
      <c r="AF7" s="70">
        <f t="shared" si="26"/>
        <v>305.9219457195061</v>
      </c>
      <c r="AG7" s="68">
        <f t="shared" si="27"/>
        <v>286369.5308444928</v>
      </c>
      <c r="AH7" s="69">
        <f t="shared" si="7"/>
        <v>1789.8095677780798</v>
      </c>
      <c r="AI7" s="70">
        <f t="shared" si="28"/>
        <v>307.8339578802529</v>
      </c>
      <c r="AJ7" s="68">
        <f t="shared" si="29"/>
        <v>286061.6968866125</v>
      </c>
      <c r="AK7" s="69">
        <f t="shared" si="8"/>
        <v>1787.885605541328</v>
      </c>
      <c r="AL7" s="70">
        <f t="shared" si="30"/>
        <v>309.7579201170047</v>
      </c>
      <c r="AM7" s="68">
        <f t="shared" si="31"/>
        <v>285751.9389664955</v>
      </c>
      <c r="AN7" s="69">
        <f t="shared" si="9"/>
        <v>1785.9496185405967</v>
      </c>
      <c r="AO7" s="70">
        <f t="shared" si="32"/>
        <v>311.693907117736</v>
      </c>
      <c r="AP7" s="68">
        <f t="shared" si="33"/>
        <v>285440.24505937775</v>
      </c>
      <c r="AQ7" s="69">
        <f t="shared" si="10"/>
        <v>1784.0015316211109</v>
      </c>
      <c r="AR7" s="70">
        <f t="shared" si="34"/>
        <v>313.6419940372218</v>
      </c>
      <c r="AS7" s="68">
        <f t="shared" si="35"/>
        <v>285126.60306534055</v>
      </c>
      <c r="AT7" s="69">
        <f t="shared" si="11"/>
        <v>1782.0412691583783</v>
      </c>
      <c r="AU7" s="70">
        <f t="shared" si="36"/>
        <v>315.60225649995436</v>
      </c>
      <c r="AV7" s="68">
        <f t="shared" si="37"/>
        <v>284811.0008088406</v>
      </c>
      <c r="AW7" s="69">
        <f t="shared" si="12"/>
        <v>1780.0687550552536</v>
      </c>
      <c r="AX7" s="70">
        <f t="shared" si="38"/>
        <v>317.57477060307906</v>
      </c>
      <c r="AY7" s="68">
        <f t="shared" si="39"/>
        <v>284493.4260382375</v>
      </c>
      <c r="AZ7" s="69">
        <f t="shared" si="13"/>
        <v>1778.0839127389843</v>
      </c>
      <c r="BA7" s="70">
        <f t="shared" si="40"/>
        <v>319.5596129193484</v>
      </c>
      <c r="BB7" s="68">
        <f t="shared" si="41"/>
        <v>284173.8664253182</v>
      </c>
      <c r="BC7" s="69">
        <f t="shared" si="14"/>
        <v>1776.0866651582385</v>
      </c>
      <c r="BD7" s="70">
        <f t="shared" si="42"/>
        <v>321.5568605000942</v>
      </c>
      <c r="BE7" s="68">
        <f t="shared" si="43"/>
        <v>283852.3095648181</v>
      </c>
    </row>
    <row r="8" spans="2:57" ht="12.75" customHeight="1" thickBot="1">
      <c r="B8" s="8">
        <f t="shared" si="15"/>
        <v>6</v>
      </c>
      <c r="C8" s="9">
        <f t="shared" si="16"/>
        <v>283852.3095648181</v>
      </c>
      <c r="D8" s="9">
        <f t="shared" si="17"/>
        <v>21152.63185144207</v>
      </c>
      <c r="E8" s="9">
        <f t="shared" si="18"/>
        <v>4019.090456457923</v>
      </c>
      <c r="F8" s="10">
        <f t="shared" si="0"/>
        <v>25171.722307899992</v>
      </c>
      <c r="G8" s="10">
        <f t="shared" si="1"/>
        <v>279833.2191083602</v>
      </c>
      <c r="H8" s="9"/>
      <c r="I8" s="14">
        <f t="shared" si="44"/>
        <v>447769.61119837506</v>
      </c>
      <c r="J8" s="15">
        <f t="shared" si="19"/>
        <v>167936.39209001488</v>
      </c>
      <c r="K8" s="16">
        <f t="shared" si="2"/>
        <v>0.3750508919990422</v>
      </c>
      <c r="L8" s="7"/>
      <c r="M8" s="18" t="s">
        <v>14</v>
      </c>
      <c r="N8" s="39">
        <f>F3/12</f>
        <v>2097.6435256583327</v>
      </c>
      <c r="Q8" s="60" t="s">
        <v>45</v>
      </c>
      <c r="U8" s="68">
        <f t="shared" si="45"/>
        <v>283852.3095648181</v>
      </c>
      <c r="V8" s="69">
        <f t="shared" si="3"/>
        <v>1774.076934780113</v>
      </c>
      <c r="W8" s="70">
        <f t="shared" si="20"/>
        <v>323.5665908782196</v>
      </c>
      <c r="X8" s="68">
        <f t="shared" si="21"/>
        <v>283528.74297393986</v>
      </c>
      <c r="Y8" s="69">
        <f t="shared" si="4"/>
        <v>1772.054643587124</v>
      </c>
      <c r="Z8" s="70">
        <f t="shared" si="22"/>
        <v>325.5888820712087</v>
      </c>
      <c r="AA8" s="68">
        <f t="shared" si="23"/>
        <v>283203.15409186867</v>
      </c>
      <c r="AB8" s="69">
        <f t="shared" si="5"/>
        <v>1770.019713074179</v>
      </c>
      <c r="AC8" s="70">
        <f t="shared" si="24"/>
        <v>327.6238125841537</v>
      </c>
      <c r="AD8" s="68">
        <f t="shared" si="25"/>
        <v>282875.5302792845</v>
      </c>
      <c r="AE8" s="69">
        <f t="shared" si="6"/>
        <v>1767.9720642455281</v>
      </c>
      <c r="AF8" s="70">
        <f t="shared" si="26"/>
        <v>329.67146141280455</v>
      </c>
      <c r="AG8" s="68">
        <f t="shared" si="27"/>
        <v>282545.8588178717</v>
      </c>
      <c r="AH8" s="69">
        <f t="shared" si="7"/>
        <v>1765.9116176116981</v>
      </c>
      <c r="AI8" s="70">
        <f t="shared" si="28"/>
        <v>331.73190804663454</v>
      </c>
      <c r="AJ8" s="68">
        <f t="shared" si="29"/>
        <v>282214.1269098251</v>
      </c>
      <c r="AK8" s="69">
        <f t="shared" si="8"/>
        <v>1763.8382931864066</v>
      </c>
      <c r="AL8" s="70">
        <f t="shared" si="30"/>
        <v>333.80523247192605</v>
      </c>
      <c r="AM8" s="68">
        <f t="shared" si="31"/>
        <v>281880.3216773532</v>
      </c>
      <c r="AN8" s="69">
        <f t="shared" si="9"/>
        <v>1761.7520104834573</v>
      </c>
      <c r="AO8" s="70">
        <f t="shared" si="32"/>
        <v>335.8915151748754</v>
      </c>
      <c r="AP8" s="68">
        <f t="shared" si="33"/>
        <v>281544.4301621783</v>
      </c>
      <c r="AQ8" s="69">
        <f t="shared" si="10"/>
        <v>1759.6526885136143</v>
      </c>
      <c r="AR8" s="70">
        <f t="shared" si="34"/>
        <v>337.9908371447184</v>
      </c>
      <c r="AS8" s="68">
        <f t="shared" si="35"/>
        <v>281206.43932503357</v>
      </c>
      <c r="AT8" s="69">
        <f t="shared" si="11"/>
        <v>1757.5402457814596</v>
      </c>
      <c r="AU8" s="70">
        <f t="shared" si="36"/>
        <v>340.1032798768731</v>
      </c>
      <c r="AV8" s="68">
        <f t="shared" si="37"/>
        <v>280866.3360451567</v>
      </c>
      <c r="AW8" s="69">
        <f t="shared" si="12"/>
        <v>1755.4146002822292</v>
      </c>
      <c r="AX8" s="70">
        <f t="shared" si="38"/>
        <v>342.22892537610346</v>
      </c>
      <c r="AY8" s="68">
        <f t="shared" si="39"/>
        <v>280524.1071197806</v>
      </c>
      <c r="AZ8" s="69">
        <f t="shared" si="13"/>
        <v>1753.2756694986288</v>
      </c>
      <c r="BA8" s="70">
        <f t="shared" si="40"/>
        <v>344.36785615970393</v>
      </c>
      <c r="BB8" s="68">
        <f t="shared" si="41"/>
        <v>280179.7392636209</v>
      </c>
      <c r="BC8" s="69">
        <f t="shared" si="14"/>
        <v>1751.1233703976307</v>
      </c>
      <c r="BD8" s="70">
        <f t="shared" si="42"/>
        <v>346.52015526070204</v>
      </c>
      <c r="BE8" s="68">
        <f t="shared" si="43"/>
        <v>279833.21910836024</v>
      </c>
    </row>
    <row r="9" spans="2:57" ht="12.75" customHeight="1">
      <c r="B9" s="8">
        <f t="shared" si="15"/>
        <v>7</v>
      </c>
      <c r="C9" s="9">
        <f t="shared" si="16"/>
        <v>279833.2191083602</v>
      </c>
      <c r="D9" s="9">
        <f t="shared" si="17"/>
        <v>20840.619414269782</v>
      </c>
      <c r="E9" s="9">
        <f t="shared" si="18"/>
        <v>4331.102893630212</v>
      </c>
      <c r="F9" s="10">
        <f t="shared" si="0"/>
        <v>25171.722307899992</v>
      </c>
      <c r="G9" s="10">
        <f t="shared" si="1"/>
        <v>275502.11621472996</v>
      </c>
      <c r="H9" s="9"/>
      <c r="I9" s="14">
        <f t="shared" si="44"/>
        <v>461202.6995343263</v>
      </c>
      <c r="J9" s="15">
        <f t="shared" si="19"/>
        <v>185700.58331959636</v>
      </c>
      <c r="K9" s="16">
        <f t="shared" si="2"/>
        <v>0.4026441811964612</v>
      </c>
      <c r="L9" s="7"/>
      <c r="M9" s="31">
        <v>75000</v>
      </c>
      <c r="N9" s="52" t="s">
        <v>24</v>
      </c>
      <c r="P9" s="58" t="s">
        <v>42</v>
      </c>
      <c r="Q9" s="59">
        <v>6.85</v>
      </c>
      <c r="U9" s="68">
        <f t="shared" si="45"/>
        <v>279833.21910836024</v>
      </c>
      <c r="V9" s="69">
        <f t="shared" si="3"/>
        <v>1748.9576194272513</v>
      </c>
      <c r="W9" s="70">
        <f t="shared" si="20"/>
        <v>348.6859062310814</v>
      </c>
      <c r="X9" s="68">
        <f t="shared" si="21"/>
        <v>279484.5332021292</v>
      </c>
      <c r="Y9" s="69">
        <f t="shared" si="4"/>
        <v>1746.7783325133073</v>
      </c>
      <c r="Z9" s="70">
        <f t="shared" si="22"/>
        <v>350.8651931450254</v>
      </c>
      <c r="AA9" s="68">
        <f t="shared" si="23"/>
        <v>279133.6680089842</v>
      </c>
      <c r="AB9" s="69">
        <f t="shared" si="5"/>
        <v>1744.585425056151</v>
      </c>
      <c r="AC9" s="70">
        <f t="shared" si="24"/>
        <v>353.05810060218164</v>
      </c>
      <c r="AD9" s="68">
        <f t="shared" si="25"/>
        <v>278780.609908382</v>
      </c>
      <c r="AE9" s="69">
        <f t="shared" si="6"/>
        <v>1742.3788119273875</v>
      </c>
      <c r="AF9" s="70">
        <f t="shared" si="26"/>
        <v>355.26471373094523</v>
      </c>
      <c r="AG9" s="68">
        <f t="shared" si="27"/>
        <v>278425.34519465105</v>
      </c>
      <c r="AH9" s="69">
        <f t="shared" si="7"/>
        <v>1740.1584074665689</v>
      </c>
      <c r="AI9" s="70">
        <f t="shared" si="28"/>
        <v>357.48511819176383</v>
      </c>
      <c r="AJ9" s="68">
        <f t="shared" si="29"/>
        <v>278067.8600764593</v>
      </c>
      <c r="AK9" s="69">
        <f t="shared" si="8"/>
        <v>1737.9241254778706</v>
      </c>
      <c r="AL9" s="70">
        <f t="shared" si="30"/>
        <v>359.7194001804621</v>
      </c>
      <c r="AM9" s="68">
        <f t="shared" si="31"/>
        <v>277708.14067627885</v>
      </c>
      <c r="AN9" s="69">
        <f t="shared" si="9"/>
        <v>1735.6758792267426</v>
      </c>
      <c r="AO9" s="70">
        <f t="shared" si="32"/>
        <v>361.9676464315901</v>
      </c>
      <c r="AP9" s="68">
        <f t="shared" si="33"/>
        <v>277346.17302984727</v>
      </c>
      <c r="AQ9" s="69">
        <f t="shared" si="10"/>
        <v>1733.4135814365452</v>
      </c>
      <c r="AR9" s="70">
        <f t="shared" si="34"/>
        <v>364.2299442217875</v>
      </c>
      <c r="AS9" s="68">
        <f t="shared" si="35"/>
        <v>276981.9430856255</v>
      </c>
      <c r="AT9" s="69">
        <f t="shared" si="11"/>
        <v>1731.1371442851591</v>
      </c>
      <c r="AU9" s="70">
        <f t="shared" si="36"/>
        <v>366.50638137317355</v>
      </c>
      <c r="AV9" s="68">
        <f t="shared" si="37"/>
        <v>276615.4367042523</v>
      </c>
      <c r="AW9" s="69">
        <f t="shared" si="12"/>
        <v>1728.846479401577</v>
      </c>
      <c r="AX9" s="70">
        <f t="shared" si="38"/>
        <v>368.7970462567557</v>
      </c>
      <c r="AY9" s="68">
        <f t="shared" si="39"/>
        <v>276246.63965799555</v>
      </c>
      <c r="AZ9" s="69">
        <f t="shared" si="13"/>
        <v>1726.541497862472</v>
      </c>
      <c r="BA9" s="70">
        <f t="shared" si="40"/>
        <v>371.10202779586075</v>
      </c>
      <c r="BB9" s="68">
        <f t="shared" si="41"/>
        <v>275875.5376301997</v>
      </c>
      <c r="BC9" s="69">
        <f t="shared" si="14"/>
        <v>1724.2221101887478</v>
      </c>
      <c r="BD9" s="70">
        <f t="shared" si="42"/>
        <v>373.4214154695849</v>
      </c>
      <c r="BE9" s="68">
        <f t="shared" si="43"/>
        <v>275502.1162147301</v>
      </c>
    </row>
    <row r="10" spans="2:57" ht="12.75" customHeight="1" thickBot="1">
      <c r="B10" s="8">
        <f t="shared" si="15"/>
        <v>8</v>
      </c>
      <c r="C10" s="9">
        <f t="shared" si="16"/>
        <v>275502.11621472996</v>
      </c>
      <c r="D10" s="9">
        <f t="shared" si="17"/>
        <v>20504.3846407244</v>
      </c>
      <c r="E10" s="9">
        <f t="shared" si="18"/>
        <v>4667.337667175596</v>
      </c>
      <c r="F10" s="10">
        <f t="shared" si="0"/>
        <v>25171.722307899992</v>
      </c>
      <c r="G10" s="10">
        <f t="shared" si="1"/>
        <v>270834.7785475544</v>
      </c>
      <c r="H10" s="9"/>
      <c r="I10" s="14">
        <f t="shared" si="44"/>
        <v>475038.78052035614</v>
      </c>
      <c r="J10" s="15">
        <f t="shared" si="19"/>
        <v>204204.00197280175</v>
      </c>
      <c r="K10" s="16">
        <f t="shared" si="2"/>
        <v>0.4298680662431755</v>
      </c>
      <c r="L10" s="7"/>
      <c r="M10" s="18" t="s">
        <v>11</v>
      </c>
      <c r="N10" s="52" t="s">
        <v>18</v>
      </c>
      <c r="P10" s="58" t="s">
        <v>43</v>
      </c>
      <c r="Q10" s="59">
        <v>7.25</v>
      </c>
      <c r="U10" s="68">
        <f t="shared" si="45"/>
        <v>275502.1162147301</v>
      </c>
      <c r="V10" s="69">
        <f t="shared" si="3"/>
        <v>1721.8882263420628</v>
      </c>
      <c r="W10" s="70">
        <f t="shared" si="20"/>
        <v>375.7552993162699</v>
      </c>
      <c r="X10" s="68">
        <f t="shared" si="21"/>
        <v>275126.3609154138</v>
      </c>
      <c r="Y10" s="69">
        <f t="shared" si="4"/>
        <v>1719.5397557213362</v>
      </c>
      <c r="Z10" s="70">
        <f t="shared" si="22"/>
        <v>378.1037699369965</v>
      </c>
      <c r="AA10" s="68">
        <f t="shared" si="23"/>
        <v>274748.2571454768</v>
      </c>
      <c r="AB10" s="69">
        <f t="shared" si="5"/>
        <v>1717.17660715923</v>
      </c>
      <c r="AC10" s="70">
        <f t="shared" si="24"/>
        <v>380.4669184991028</v>
      </c>
      <c r="AD10" s="68">
        <f t="shared" si="25"/>
        <v>274367.7902269777</v>
      </c>
      <c r="AE10" s="69">
        <f t="shared" si="6"/>
        <v>1714.7986889186107</v>
      </c>
      <c r="AF10" s="70">
        <f t="shared" si="26"/>
        <v>382.84483673972204</v>
      </c>
      <c r="AG10" s="68">
        <f t="shared" si="27"/>
        <v>273984.945390238</v>
      </c>
      <c r="AH10" s="69">
        <f t="shared" si="7"/>
        <v>1712.4059086889874</v>
      </c>
      <c r="AI10" s="70">
        <f t="shared" si="28"/>
        <v>385.23761696934525</v>
      </c>
      <c r="AJ10" s="68">
        <f t="shared" si="29"/>
        <v>273599.7077732687</v>
      </c>
      <c r="AK10" s="69">
        <f t="shared" si="8"/>
        <v>1709.9981735829292</v>
      </c>
      <c r="AL10" s="70">
        <f t="shared" si="30"/>
        <v>387.6453520754035</v>
      </c>
      <c r="AM10" s="68">
        <f t="shared" si="31"/>
        <v>273212.0624211933</v>
      </c>
      <c r="AN10" s="69">
        <f t="shared" si="9"/>
        <v>1707.5753901324579</v>
      </c>
      <c r="AO10" s="70">
        <f t="shared" si="32"/>
        <v>390.0681355258748</v>
      </c>
      <c r="AP10" s="68">
        <f t="shared" si="33"/>
        <v>272821.99428566743</v>
      </c>
      <c r="AQ10" s="69">
        <f t="shared" si="10"/>
        <v>1705.1374642854214</v>
      </c>
      <c r="AR10" s="70">
        <f t="shared" si="34"/>
        <v>392.5060613729113</v>
      </c>
      <c r="AS10" s="68">
        <f t="shared" si="35"/>
        <v>272429.4882242945</v>
      </c>
      <c r="AT10" s="69">
        <f t="shared" si="11"/>
        <v>1702.6843014018405</v>
      </c>
      <c r="AU10" s="70">
        <f t="shared" si="36"/>
        <v>394.95922425649223</v>
      </c>
      <c r="AV10" s="68">
        <f t="shared" si="37"/>
        <v>272034.529000038</v>
      </c>
      <c r="AW10" s="69">
        <f t="shared" si="12"/>
        <v>1700.2158062502374</v>
      </c>
      <c r="AX10" s="70">
        <f t="shared" si="38"/>
        <v>397.4277194080953</v>
      </c>
      <c r="AY10" s="68">
        <f t="shared" si="39"/>
        <v>271637.10128062987</v>
      </c>
      <c r="AZ10" s="69">
        <f t="shared" si="13"/>
        <v>1697.7318830039364</v>
      </c>
      <c r="BA10" s="70">
        <f t="shared" si="40"/>
        <v>399.91164265439625</v>
      </c>
      <c r="BB10" s="68">
        <f t="shared" si="41"/>
        <v>271237.1896379755</v>
      </c>
      <c r="BC10" s="69">
        <f t="shared" si="14"/>
        <v>1695.2324352373466</v>
      </c>
      <c r="BD10" s="70">
        <f t="shared" si="42"/>
        <v>402.41109042098606</v>
      </c>
      <c r="BE10" s="68">
        <f t="shared" si="43"/>
        <v>270834.7785475545</v>
      </c>
    </row>
    <row r="11" spans="2:57" ht="12.75" customHeight="1" thickBot="1">
      <c r="B11" s="8">
        <f t="shared" si="15"/>
        <v>9</v>
      </c>
      <c r="C11" s="9">
        <f t="shared" si="16"/>
        <v>270834.7785475544</v>
      </c>
      <c r="D11" s="9">
        <f t="shared" si="17"/>
        <v>20142.047087882915</v>
      </c>
      <c r="E11" s="9">
        <f t="shared" si="18"/>
        <v>5029.675220017078</v>
      </c>
      <c r="F11" s="10">
        <f t="shared" si="0"/>
        <v>25171.722307899992</v>
      </c>
      <c r="G11" s="10">
        <f t="shared" si="1"/>
        <v>265805.1033275373</v>
      </c>
      <c r="H11" s="9"/>
      <c r="I11" s="14">
        <f t="shared" si="44"/>
        <v>489289.9439359668</v>
      </c>
      <c r="J11" s="15">
        <f t="shared" si="19"/>
        <v>223484.8406084295</v>
      </c>
      <c r="K11" s="16">
        <f t="shared" si="2"/>
        <v>0.45675339004653015</v>
      </c>
      <c r="L11" s="7"/>
      <c r="M11" s="32">
        <v>0.075</v>
      </c>
      <c r="N11" s="39">
        <f>M23/12</f>
        <v>402.34375</v>
      </c>
      <c r="P11" s="58" t="s">
        <v>44</v>
      </c>
      <c r="Q11" s="59">
        <v>6.4</v>
      </c>
      <c r="U11" s="68">
        <f t="shared" si="45"/>
        <v>270834.7785475545</v>
      </c>
      <c r="V11" s="69">
        <f t="shared" si="3"/>
        <v>1692.7173659222155</v>
      </c>
      <c r="W11" s="70">
        <f t="shared" si="20"/>
        <v>404.92615973611714</v>
      </c>
      <c r="X11" s="68">
        <f t="shared" si="21"/>
        <v>270429.8523878184</v>
      </c>
      <c r="Y11" s="69">
        <f t="shared" si="4"/>
        <v>1690.1865774238647</v>
      </c>
      <c r="Z11" s="70">
        <f t="shared" si="22"/>
        <v>407.456948234468</v>
      </c>
      <c r="AA11" s="68">
        <f t="shared" si="23"/>
        <v>270022.3954395839</v>
      </c>
      <c r="AB11" s="69">
        <f t="shared" si="5"/>
        <v>1687.6399714973993</v>
      </c>
      <c r="AC11" s="70">
        <f t="shared" si="24"/>
        <v>410.0035541609334</v>
      </c>
      <c r="AD11" s="68">
        <f t="shared" si="25"/>
        <v>269612.391885423</v>
      </c>
      <c r="AE11" s="69">
        <f t="shared" si="6"/>
        <v>1685.0774492838934</v>
      </c>
      <c r="AF11" s="70">
        <f t="shared" si="26"/>
        <v>412.56607637443926</v>
      </c>
      <c r="AG11" s="68">
        <f t="shared" si="27"/>
        <v>269199.82580904855</v>
      </c>
      <c r="AH11" s="69">
        <f t="shared" si="7"/>
        <v>1682.4989113065533</v>
      </c>
      <c r="AI11" s="70">
        <f t="shared" si="28"/>
        <v>415.1446143517794</v>
      </c>
      <c r="AJ11" s="68">
        <f t="shared" si="29"/>
        <v>268784.68119469675</v>
      </c>
      <c r="AK11" s="69">
        <f t="shared" si="8"/>
        <v>1679.9042574668545</v>
      </c>
      <c r="AL11" s="70">
        <f t="shared" si="30"/>
        <v>417.73926819147823</v>
      </c>
      <c r="AM11" s="68">
        <f t="shared" si="31"/>
        <v>268366.9419265053</v>
      </c>
      <c r="AN11" s="69">
        <f t="shared" si="9"/>
        <v>1677.293387040658</v>
      </c>
      <c r="AO11" s="70">
        <f t="shared" si="32"/>
        <v>420.3501386176747</v>
      </c>
      <c r="AP11" s="68">
        <f t="shared" si="33"/>
        <v>267946.5917878876</v>
      </c>
      <c r="AQ11" s="69">
        <f t="shared" si="10"/>
        <v>1674.6661986742974</v>
      </c>
      <c r="AR11" s="70">
        <f t="shared" si="34"/>
        <v>422.97732698403524</v>
      </c>
      <c r="AS11" s="68">
        <f t="shared" si="35"/>
        <v>267523.61446090357</v>
      </c>
      <c r="AT11" s="69">
        <f t="shared" si="11"/>
        <v>1672.0225903806472</v>
      </c>
      <c r="AU11" s="70">
        <f t="shared" si="36"/>
        <v>425.6209352776855</v>
      </c>
      <c r="AV11" s="68">
        <f t="shared" si="37"/>
        <v>267097.9935256259</v>
      </c>
      <c r="AW11" s="69">
        <f t="shared" si="12"/>
        <v>1669.3624595351619</v>
      </c>
      <c r="AX11" s="70">
        <f t="shared" si="38"/>
        <v>428.28106612317083</v>
      </c>
      <c r="AY11" s="68">
        <f t="shared" si="39"/>
        <v>266669.71245950274</v>
      </c>
      <c r="AZ11" s="69">
        <f t="shared" si="13"/>
        <v>1666.685702871892</v>
      </c>
      <c r="BA11" s="70">
        <f t="shared" si="40"/>
        <v>430.9578227864406</v>
      </c>
      <c r="BB11" s="68">
        <f t="shared" si="41"/>
        <v>266238.7546367163</v>
      </c>
      <c r="BC11" s="69">
        <f t="shared" si="14"/>
        <v>1663.9922164794766</v>
      </c>
      <c r="BD11" s="70">
        <f t="shared" si="42"/>
        <v>433.6513091788561</v>
      </c>
      <c r="BE11" s="68">
        <f t="shared" si="43"/>
        <v>265805.1033275374</v>
      </c>
    </row>
    <row r="12" spans="2:57" ht="12.75" customHeight="1">
      <c r="B12" s="8">
        <f t="shared" si="15"/>
        <v>10</v>
      </c>
      <c r="C12" s="9">
        <f t="shared" si="16"/>
        <v>265805.1033275373</v>
      </c>
      <c r="D12" s="9">
        <f t="shared" si="17"/>
        <v>19751.58032915121</v>
      </c>
      <c r="E12" s="9">
        <f t="shared" si="18"/>
        <v>5420.141978748781</v>
      </c>
      <c r="F12" s="10">
        <f t="shared" si="0"/>
        <v>25171.722307899992</v>
      </c>
      <c r="G12" s="10">
        <f t="shared" si="1"/>
        <v>260384.96134878852</v>
      </c>
      <c r="H12" s="9"/>
      <c r="I12" s="14">
        <f t="shared" si="44"/>
        <v>503968.6422540458</v>
      </c>
      <c r="J12" s="15">
        <f t="shared" si="19"/>
        <v>243583.6809052573</v>
      </c>
      <c r="K12" s="16">
        <f t="shared" si="2"/>
        <v>0.4833310259459934</v>
      </c>
      <c r="L12" s="7"/>
      <c r="M12" s="18" t="s">
        <v>32</v>
      </c>
      <c r="N12" s="52" t="s">
        <v>40</v>
      </c>
      <c r="U12" s="68">
        <f t="shared" si="45"/>
        <v>265805.1033275374</v>
      </c>
      <c r="V12" s="69">
        <f t="shared" si="3"/>
        <v>1661.2818957971087</v>
      </c>
      <c r="W12" s="70">
        <f t="shared" si="20"/>
        <v>436.36162986122395</v>
      </c>
      <c r="X12" s="68">
        <f t="shared" si="21"/>
        <v>265368.7416976762</v>
      </c>
      <c r="Y12" s="69">
        <f t="shared" si="4"/>
        <v>1658.554635610476</v>
      </c>
      <c r="Z12" s="70">
        <f t="shared" si="22"/>
        <v>439.0888900478567</v>
      </c>
      <c r="AA12" s="68">
        <f t="shared" si="23"/>
        <v>264929.6528076283</v>
      </c>
      <c r="AB12" s="69">
        <f t="shared" si="5"/>
        <v>1655.8103300476769</v>
      </c>
      <c r="AC12" s="70">
        <f t="shared" si="24"/>
        <v>441.8331956106558</v>
      </c>
      <c r="AD12" s="68">
        <f t="shared" si="25"/>
        <v>264487.81961201766</v>
      </c>
      <c r="AE12" s="69">
        <f t="shared" si="6"/>
        <v>1653.0488725751102</v>
      </c>
      <c r="AF12" s="70">
        <f t="shared" si="26"/>
        <v>444.5946530832225</v>
      </c>
      <c r="AG12" s="68">
        <f t="shared" si="27"/>
        <v>264043.2249589344</v>
      </c>
      <c r="AH12" s="69">
        <f t="shared" si="7"/>
        <v>1650.27015599334</v>
      </c>
      <c r="AI12" s="70">
        <f t="shared" si="28"/>
        <v>447.37336966499265</v>
      </c>
      <c r="AJ12" s="68">
        <f t="shared" si="29"/>
        <v>263595.8515892694</v>
      </c>
      <c r="AK12" s="69">
        <f t="shared" si="8"/>
        <v>1647.4740724329338</v>
      </c>
      <c r="AL12" s="70">
        <f t="shared" si="30"/>
        <v>450.1694532253989</v>
      </c>
      <c r="AM12" s="68">
        <f t="shared" si="31"/>
        <v>263145.682136044</v>
      </c>
      <c r="AN12" s="69">
        <f t="shared" si="9"/>
        <v>1644.660513350275</v>
      </c>
      <c r="AO12" s="70">
        <f t="shared" si="32"/>
        <v>452.9830123080576</v>
      </c>
      <c r="AP12" s="68">
        <f t="shared" si="33"/>
        <v>262692.69912373595</v>
      </c>
      <c r="AQ12" s="69">
        <f t="shared" si="10"/>
        <v>1641.8293695233494</v>
      </c>
      <c r="AR12" s="70">
        <f t="shared" si="34"/>
        <v>455.81415613498325</v>
      </c>
      <c r="AS12" s="68">
        <f t="shared" si="35"/>
        <v>262236.884967601</v>
      </c>
      <c r="AT12" s="69">
        <f t="shared" si="11"/>
        <v>1638.980531047506</v>
      </c>
      <c r="AU12" s="70">
        <f t="shared" si="36"/>
        <v>458.6629946108267</v>
      </c>
      <c r="AV12" s="68">
        <f t="shared" si="37"/>
        <v>261778.22197299017</v>
      </c>
      <c r="AW12" s="69">
        <f t="shared" si="12"/>
        <v>1636.1138873311884</v>
      </c>
      <c r="AX12" s="70">
        <f t="shared" si="38"/>
        <v>461.5296383271443</v>
      </c>
      <c r="AY12" s="68">
        <f t="shared" si="39"/>
        <v>261316.69233466304</v>
      </c>
      <c r="AZ12" s="69">
        <f t="shared" si="13"/>
        <v>1633.2293270916439</v>
      </c>
      <c r="BA12" s="70">
        <f t="shared" si="40"/>
        <v>464.4141985666888</v>
      </c>
      <c r="BB12" s="68">
        <f t="shared" si="41"/>
        <v>260852.27813609634</v>
      </c>
      <c r="BC12" s="69">
        <f t="shared" si="14"/>
        <v>1630.326738350602</v>
      </c>
      <c r="BD12" s="70">
        <f t="shared" si="42"/>
        <v>467.3167873077307</v>
      </c>
      <c r="BE12" s="68">
        <f t="shared" si="43"/>
        <v>260384.9613487886</v>
      </c>
    </row>
    <row r="13" spans="2:57" ht="12.75" customHeight="1" thickBot="1">
      <c r="B13" s="8">
        <f t="shared" si="15"/>
        <v>11</v>
      </c>
      <c r="C13" s="9">
        <f t="shared" si="16"/>
        <v>260384.96134878852</v>
      </c>
      <c r="D13" s="9">
        <f t="shared" si="17"/>
        <v>19330.80062117228</v>
      </c>
      <c r="E13" s="9">
        <f t="shared" si="18"/>
        <v>5840.9216867277155</v>
      </c>
      <c r="F13" s="10">
        <f t="shared" si="0"/>
        <v>25171.722307899992</v>
      </c>
      <c r="G13" s="10">
        <f t="shared" si="1"/>
        <v>254544.0396620608</v>
      </c>
      <c r="H13" s="9"/>
      <c r="I13" s="14">
        <f t="shared" si="44"/>
        <v>519087.7015216672</v>
      </c>
      <c r="J13" s="15">
        <f t="shared" si="19"/>
        <v>264543.6618596064</v>
      </c>
      <c r="K13" s="16">
        <f t="shared" si="2"/>
        <v>0.5096319197779416</v>
      </c>
      <c r="L13" s="7"/>
      <c r="M13" s="37">
        <v>0.03</v>
      </c>
      <c r="N13" s="52" t="s">
        <v>41</v>
      </c>
      <c r="U13" s="68">
        <f t="shared" si="45"/>
        <v>260384.9613487886</v>
      </c>
      <c r="V13" s="69">
        <f t="shared" si="3"/>
        <v>1627.4060084299288</v>
      </c>
      <c r="W13" s="70">
        <f t="shared" si="20"/>
        <v>470.23751722840393</v>
      </c>
      <c r="X13" s="68">
        <f t="shared" si="21"/>
        <v>259914.7238315602</v>
      </c>
      <c r="Y13" s="69">
        <f t="shared" si="4"/>
        <v>1624.4670239472512</v>
      </c>
      <c r="Z13" s="70">
        <f t="shared" si="22"/>
        <v>473.1765017110815</v>
      </c>
      <c r="AA13" s="68">
        <f t="shared" si="23"/>
        <v>259441.54732984913</v>
      </c>
      <c r="AB13" s="69">
        <f t="shared" si="5"/>
        <v>1621.5096708115568</v>
      </c>
      <c r="AC13" s="70">
        <f t="shared" si="24"/>
        <v>476.1338548467759</v>
      </c>
      <c r="AD13" s="68">
        <f t="shared" si="25"/>
        <v>258965.41347500234</v>
      </c>
      <c r="AE13" s="69">
        <f t="shared" si="6"/>
        <v>1618.5338342187645</v>
      </c>
      <c r="AF13" s="70">
        <f t="shared" si="26"/>
        <v>479.1096914395682</v>
      </c>
      <c r="AG13" s="68">
        <f t="shared" si="27"/>
        <v>258486.30378356276</v>
      </c>
      <c r="AH13" s="69">
        <f t="shared" si="7"/>
        <v>1615.539398647267</v>
      </c>
      <c r="AI13" s="70">
        <f t="shared" si="28"/>
        <v>482.10412701106566</v>
      </c>
      <c r="AJ13" s="68">
        <f t="shared" si="29"/>
        <v>258004.1996565517</v>
      </c>
      <c r="AK13" s="69">
        <f t="shared" si="8"/>
        <v>1612.526247853448</v>
      </c>
      <c r="AL13" s="70">
        <f t="shared" si="30"/>
        <v>485.1172778048847</v>
      </c>
      <c r="AM13" s="68">
        <f t="shared" si="31"/>
        <v>257519.08237874683</v>
      </c>
      <c r="AN13" s="69">
        <f t="shared" si="9"/>
        <v>1609.4942648671674</v>
      </c>
      <c r="AO13" s="70">
        <f t="shared" si="32"/>
        <v>488.14926079116526</v>
      </c>
      <c r="AP13" s="68">
        <f t="shared" si="33"/>
        <v>257030.93311795566</v>
      </c>
      <c r="AQ13" s="69">
        <f t="shared" si="10"/>
        <v>1606.4433319872228</v>
      </c>
      <c r="AR13" s="70">
        <f t="shared" si="34"/>
        <v>491.2001936711099</v>
      </c>
      <c r="AS13" s="68">
        <f t="shared" si="35"/>
        <v>256539.73292428456</v>
      </c>
      <c r="AT13" s="69">
        <f t="shared" si="11"/>
        <v>1603.3733307767784</v>
      </c>
      <c r="AU13" s="70">
        <f t="shared" si="36"/>
        <v>494.2701948815543</v>
      </c>
      <c r="AV13" s="68">
        <f t="shared" si="37"/>
        <v>256045.462729403</v>
      </c>
      <c r="AW13" s="69">
        <f t="shared" si="12"/>
        <v>1600.2841420587686</v>
      </c>
      <c r="AX13" s="70">
        <f t="shared" si="38"/>
        <v>497.3593835995641</v>
      </c>
      <c r="AY13" s="68">
        <f t="shared" si="39"/>
        <v>255548.10334580342</v>
      </c>
      <c r="AZ13" s="69">
        <f t="shared" si="13"/>
        <v>1597.1756459112712</v>
      </c>
      <c r="BA13" s="70">
        <f t="shared" si="40"/>
        <v>500.4678797470615</v>
      </c>
      <c r="BB13" s="68">
        <f t="shared" si="41"/>
        <v>255047.63546605635</v>
      </c>
      <c r="BC13" s="69">
        <f t="shared" si="14"/>
        <v>1594.0477216628522</v>
      </c>
      <c r="BD13" s="70">
        <f t="shared" si="42"/>
        <v>503.59580399548054</v>
      </c>
      <c r="BE13" s="68">
        <f t="shared" si="43"/>
        <v>254544.03966206088</v>
      </c>
    </row>
    <row r="14" spans="2:57" ht="12.75" customHeight="1" thickBot="1">
      <c r="B14" s="8">
        <f t="shared" si="15"/>
        <v>12</v>
      </c>
      <c r="C14" s="9">
        <f t="shared" si="16"/>
        <v>254544.0396620608</v>
      </c>
      <c r="D14" s="9">
        <f t="shared" si="17"/>
        <v>18877.354690917058</v>
      </c>
      <c r="E14" s="9">
        <f t="shared" si="18"/>
        <v>6294.367616982934</v>
      </c>
      <c r="F14" s="10">
        <f t="shared" si="0"/>
        <v>25171.722307899992</v>
      </c>
      <c r="G14" s="10">
        <f t="shared" si="1"/>
        <v>248249.67204507787</v>
      </c>
      <c r="H14" s="9"/>
      <c r="I14" s="14">
        <f t="shared" si="44"/>
        <v>534660.3325673172</v>
      </c>
      <c r="J14" s="15">
        <f t="shared" si="19"/>
        <v>286410.6605222393</v>
      </c>
      <c r="K14" s="16">
        <f t="shared" si="2"/>
        <v>0.5356871327015424</v>
      </c>
      <c r="L14" s="7"/>
      <c r="M14" s="57" t="s">
        <v>24</v>
      </c>
      <c r="N14" s="39">
        <f>M38/12</f>
        <v>0</v>
      </c>
      <c r="U14" s="68">
        <f t="shared" si="45"/>
        <v>254544.03966206088</v>
      </c>
      <c r="V14" s="69">
        <f t="shared" si="3"/>
        <v>1590.9002478878804</v>
      </c>
      <c r="W14" s="70">
        <f t="shared" si="20"/>
        <v>506.7432777704523</v>
      </c>
      <c r="X14" s="68">
        <f t="shared" si="21"/>
        <v>254037.29638429044</v>
      </c>
      <c r="Y14" s="69">
        <f t="shared" si="4"/>
        <v>1587.7331024018151</v>
      </c>
      <c r="Z14" s="70">
        <f t="shared" si="22"/>
        <v>509.91042325651756</v>
      </c>
      <c r="AA14" s="68">
        <f t="shared" si="23"/>
        <v>253527.38596103393</v>
      </c>
      <c r="AB14" s="69">
        <f t="shared" si="5"/>
        <v>1584.546162256462</v>
      </c>
      <c r="AC14" s="70">
        <f t="shared" si="24"/>
        <v>513.0973634018708</v>
      </c>
      <c r="AD14" s="68">
        <f t="shared" si="25"/>
        <v>253014.28859763205</v>
      </c>
      <c r="AE14" s="69">
        <f t="shared" si="6"/>
        <v>1581.3393037352002</v>
      </c>
      <c r="AF14" s="70">
        <f t="shared" si="26"/>
        <v>516.3042219231324</v>
      </c>
      <c r="AG14" s="68">
        <f t="shared" si="27"/>
        <v>252497.9843757089</v>
      </c>
      <c r="AH14" s="69">
        <f t="shared" si="7"/>
        <v>1578.1124023481805</v>
      </c>
      <c r="AI14" s="70">
        <f t="shared" si="28"/>
        <v>519.5311233101522</v>
      </c>
      <c r="AJ14" s="68">
        <f t="shared" si="29"/>
        <v>251978.45325239876</v>
      </c>
      <c r="AK14" s="69">
        <f t="shared" si="8"/>
        <v>1574.865332827492</v>
      </c>
      <c r="AL14" s="70">
        <f t="shared" si="30"/>
        <v>522.7781928308407</v>
      </c>
      <c r="AM14" s="68">
        <f t="shared" si="31"/>
        <v>251455.6750595679</v>
      </c>
      <c r="AN14" s="69">
        <f t="shared" si="9"/>
        <v>1571.5979691222992</v>
      </c>
      <c r="AO14" s="70">
        <f t="shared" si="32"/>
        <v>526.0455565360335</v>
      </c>
      <c r="AP14" s="68">
        <f t="shared" si="33"/>
        <v>250929.62950303187</v>
      </c>
      <c r="AQ14" s="69">
        <f t="shared" si="10"/>
        <v>1568.3101843939492</v>
      </c>
      <c r="AR14" s="70">
        <f t="shared" si="34"/>
        <v>529.3333412643835</v>
      </c>
      <c r="AS14" s="68">
        <f t="shared" si="35"/>
        <v>250400.2961617675</v>
      </c>
      <c r="AT14" s="69">
        <f t="shared" si="11"/>
        <v>1565.0018510110467</v>
      </c>
      <c r="AU14" s="70">
        <f t="shared" si="36"/>
        <v>532.641674647286</v>
      </c>
      <c r="AV14" s="68">
        <f t="shared" si="37"/>
        <v>249867.65448712022</v>
      </c>
      <c r="AW14" s="69">
        <f t="shared" si="12"/>
        <v>1561.6728405445012</v>
      </c>
      <c r="AX14" s="70">
        <f t="shared" si="38"/>
        <v>535.9706851138315</v>
      </c>
      <c r="AY14" s="68">
        <f t="shared" si="39"/>
        <v>249331.6838020064</v>
      </c>
      <c r="AZ14" s="69">
        <f t="shared" si="13"/>
        <v>1558.3230237625398</v>
      </c>
      <c r="BA14" s="70">
        <f t="shared" si="40"/>
        <v>539.3205018957929</v>
      </c>
      <c r="BB14" s="68">
        <f t="shared" si="41"/>
        <v>248792.3633001106</v>
      </c>
      <c r="BC14" s="69">
        <f t="shared" si="14"/>
        <v>1554.952270625691</v>
      </c>
      <c r="BD14" s="70">
        <f t="shared" si="42"/>
        <v>542.6912550326417</v>
      </c>
      <c r="BE14" s="68">
        <f t="shared" si="43"/>
        <v>248249.67204507795</v>
      </c>
    </row>
    <row r="15" spans="2:57" ht="12.75" customHeight="1">
      <c r="B15" s="8">
        <f t="shared" si="15"/>
        <v>13</v>
      </c>
      <c r="C15" s="9">
        <f t="shared" si="16"/>
        <v>248249.67204507787</v>
      </c>
      <c r="D15" s="9">
        <f t="shared" si="17"/>
        <v>18388.706574655433</v>
      </c>
      <c r="E15" s="9">
        <f t="shared" si="18"/>
        <v>6783.01573324456</v>
      </c>
      <c r="F15" s="10">
        <f t="shared" si="0"/>
        <v>25171.722307899992</v>
      </c>
      <c r="G15" s="10">
        <f t="shared" si="1"/>
        <v>241466.6563118333</v>
      </c>
      <c r="H15" s="9"/>
      <c r="I15" s="14">
        <f t="shared" si="44"/>
        <v>550700.1425443367</v>
      </c>
      <c r="J15" s="15">
        <f t="shared" si="19"/>
        <v>309233.48623250343</v>
      </c>
      <c r="K15" s="16">
        <f t="shared" si="2"/>
        <v>0.5615278848554268</v>
      </c>
      <c r="L15" s="7"/>
      <c r="M15" s="18" t="s">
        <v>17</v>
      </c>
      <c r="N15" s="52" t="s">
        <v>13</v>
      </c>
      <c r="U15" s="68">
        <f t="shared" si="45"/>
        <v>248249.67204507795</v>
      </c>
      <c r="V15" s="69">
        <f t="shared" si="3"/>
        <v>1551.560450281737</v>
      </c>
      <c r="W15" s="70">
        <f t="shared" si="20"/>
        <v>546.0830753765956</v>
      </c>
      <c r="X15" s="68">
        <f t="shared" si="21"/>
        <v>247703.58896970135</v>
      </c>
      <c r="Y15" s="69">
        <f t="shared" si="4"/>
        <v>1548.1474310606334</v>
      </c>
      <c r="Z15" s="70">
        <f t="shared" si="22"/>
        <v>549.4960945976993</v>
      </c>
      <c r="AA15" s="68">
        <f t="shared" si="23"/>
        <v>247154.09287510364</v>
      </c>
      <c r="AB15" s="69">
        <f t="shared" si="5"/>
        <v>1544.7130804693977</v>
      </c>
      <c r="AC15" s="70">
        <f t="shared" si="24"/>
        <v>552.930445188935</v>
      </c>
      <c r="AD15" s="68">
        <f t="shared" si="25"/>
        <v>246601.1624299147</v>
      </c>
      <c r="AE15" s="69">
        <f t="shared" si="6"/>
        <v>1541.2572651869666</v>
      </c>
      <c r="AF15" s="70">
        <f t="shared" si="26"/>
        <v>556.3862604713661</v>
      </c>
      <c r="AG15" s="68">
        <f t="shared" si="27"/>
        <v>246044.77616944333</v>
      </c>
      <c r="AH15" s="69">
        <f t="shared" si="7"/>
        <v>1537.7798510590208</v>
      </c>
      <c r="AI15" s="70">
        <f t="shared" si="28"/>
        <v>559.8636745993119</v>
      </c>
      <c r="AJ15" s="68">
        <f t="shared" si="29"/>
        <v>245484.91249484403</v>
      </c>
      <c r="AK15" s="69">
        <f t="shared" si="8"/>
        <v>1534.280703092775</v>
      </c>
      <c r="AL15" s="70">
        <f t="shared" si="30"/>
        <v>563.3628225655577</v>
      </c>
      <c r="AM15" s="68">
        <f t="shared" si="31"/>
        <v>244921.54967227846</v>
      </c>
      <c r="AN15" s="69">
        <f t="shared" si="9"/>
        <v>1530.7596854517403</v>
      </c>
      <c r="AO15" s="70">
        <f t="shared" si="32"/>
        <v>566.8838402065924</v>
      </c>
      <c r="AP15" s="68">
        <f t="shared" si="33"/>
        <v>244354.66583207186</v>
      </c>
      <c r="AQ15" s="69">
        <f t="shared" si="10"/>
        <v>1527.216661450449</v>
      </c>
      <c r="AR15" s="70">
        <f t="shared" si="34"/>
        <v>570.4268642078837</v>
      </c>
      <c r="AS15" s="68">
        <f t="shared" si="35"/>
        <v>243784.23896786396</v>
      </c>
      <c r="AT15" s="69">
        <f t="shared" si="11"/>
        <v>1523.6514935491496</v>
      </c>
      <c r="AU15" s="70">
        <f t="shared" si="36"/>
        <v>573.9920321091831</v>
      </c>
      <c r="AV15" s="68">
        <f t="shared" si="37"/>
        <v>243210.24693575478</v>
      </c>
      <c r="AW15" s="69">
        <f t="shared" si="12"/>
        <v>1520.0640433484673</v>
      </c>
      <c r="AX15" s="70">
        <f t="shared" si="38"/>
        <v>577.5794823098654</v>
      </c>
      <c r="AY15" s="68">
        <f t="shared" si="39"/>
        <v>242632.6674534449</v>
      </c>
      <c r="AZ15" s="69">
        <f t="shared" si="13"/>
        <v>1516.4541715840305</v>
      </c>
      <c r="BA15" s="70">
        <f t="shared" si="40"/>
        <v>581.1893540743022</v>
      </c>
      <c r="BB15" s="68">
        <f t="shared" si="41"/>
        <v>242051.4780993706</v>
      </c>
      <c r="BC15" s="69">
        <f t="shared" si="14"/>
        <v>1512.8217381210661</v>
      </c>
      <c r="BD15" s="70">
        <f t="shared" si="42"/>
        <v>584.8217875372666</v>
      </c>
      <c r="BE15" s="68">
        <f t="shared" si="43"/>
        <v>241466.65631183333</v>
      </c>
    </row>
    <row r="16" spans="2:57" ht="12.75" customHeight="1" thickBot="1">
      <c r="B16" s="8">
        <f t="shared" si="15"/>
        <v>14</v>
      </c>
      <c r="C16" s="9">
        <f t="shared" si="16"/>
        <v>241466.6563118333</v>
      </c>
      <c r="D16" s="9">
        <f t="shared" si="17"/>
        <v>17862.12343520231</v>
      </c>
      <c r="E16" s="9">
        <f t="shared" si="18"/>
        <v>7309.598872697678</v>
      </c>
      <c r="F16" s="10">
        <f t="shared" si="0"/>
        <v>25171.722307899992</v>
      </c>
      <c r="G16" s="10">
        <f t="shared" si="1"/>
        <v>234157.05743913562</v>
      </c>
      <c r="H16" s="9"/>
      <c r="I16" s="14">
        <f t="shared" si="44"/>
        <v>567221.1468206669</v>
      </c>
      <c r="J16" s="15">
        <f t="shared" si="19"/>
        <v>333064.08938153123</v>
      </c>
      <c r="K16" s="16">
        <f t="shared" si="2"/>
        <v>0.5871855999170515</v>
      </c>
      <c r="L16" s="7"/>
      <c r="M16" s="31">
        <v>300</v>
      </c>
      <c r="N16" s="52" t="s">
        <v>20</v>
      </c>
      <c r="U16" s="68">
        <f t="shared" si="45"/>
        <v>241466.65631183333</v>
      </c>
      <c r="V16" s="69">
        <f t="shared" si="3"/>
        <v>1509.1666019489583</v>
      </c>
      <c r="W16" s="70">
        <f t="shared" si="20"/>
        <v>588.4769237093744</v>
      </c>
      <c r="X16" s="68">
        <f t="shared" si="21"/>
        <v>240878.17938812394</v>
      </c>
      <c r="Y16" s="69">
        <f t="shared" si="4"/>
        <v>1505.4886211757746</v>
      </c>
      <c r="Z16" s="70">
        <f t="shared" si="22"/>
        <v>592.1549044825581</v>
      </c>
      <c r="AA16" s="68">
        <f t="shared" si="23"/>
        <v>240286.02448364138</v>
      </c>
      <c r="AB16" s="69">
        <f t="shared" si="5"/>
        <v>1501.7876530227584</v>
      </c>
      <c r="AC16" s="70">
        <f t="shared" si="24"/>
        <v>595.8558726355743</v>
      </c>
      <c r="AD16" s="68">
        <f t="shared" si="25"/>
        <v>239690.1686110058</v>
      </c>
      <c r="AE16" s="69">
        <f t="shared" si="6"/>
        <v>1498.063553818786</v>
      </c>
      <c r="AF16" s="70">
        <f t="shared" si="26"/>
        <v>599.5799718395467</v>
      </c>
      <c r="AG16" s="68">
        <f t="shared" si="27"/>
        <v>239090.58863916624</v>
      </c>
      <c r="AH16" s="69">
        <f t="shared" si="7"/>
        <v>1494.3161789947887</v>
      </c>
      <c r="AI16" s="70">
        <f t="shared" si="28"/>
        <v>603.327346663544</v>
      </c>
      <c r="AJ16" s="68">
        <f t="shared" si="29"/>
        <v>238487.2612925027</v>
      </c>
      <c r="AK16" s="69">
        <f t="shared" si="8"/>
        <v>1490.5453830781416</v>
      </c>
      <c r="AL16" s="70">
        <f t="shared" si="30"/>
        <v>607.098142580191</v>
      </c>
      <c r="AM16" s="68">
        <f t="shared" si="31"/>
        <v>237880.1631499225</v>
      </c>
      <c r="AN16" s="69">
        <f t="shared" si="9"/>
        <v>1486.7510196870155</v>
      </c>
      <c r="AO16" s="70">
        <f t="shared" si="32"/>
        <v>610.8925059713172</v>
      </c>
      <c r="AP16" s="68">
        <f t="shared" si="33"/>
        <v>237269.2706439512</v>
      </c>
      <c r="AQ16" s="69">
        <f t="shared" si="10"/>
        <v>1482.9329415246948</v>
      </c>
      <c r="AR16" s="70">
        <f t="shared" si="34"/>
        <v>614.7105841336379</v>
      </c>
      <c r="AS16" s="68">
        <f t="shared" si="35"/>
        <v>236654.56005981757</v>
      </c>
      <c r="AT16" s="69">
        <f t="shared" si="11"/>
        <v>1479.0910003738597</v>
      </c>
      <c r="AU16" s="70">
        <f t="shared" si="36"/>
        <v>618.552525284473</v>
      </c>
      <c r="AV16" s="68">
        <f t="shared" si="37"/>
        <v>236036.0075345331</v>
      </c>
      <c r="AW16" s="69">
        <f t="shared" si="12"/>
        <v>1475.2250470908318</v>
      </c>
      <c r="AX16" s="70">
        <f t="shared" si="38"/>
        <v>622.4184785675009</v>
      </c>
      <c r="AY16" s="68">
        <f t="shared" si="39"/>
        <v>235413.5890559656</v>
      </c>
      <c r="AZ16" s="69">
        <f t="shared" si="13"/>
        <v>1471.3349315997848</v>
      </c>
      <c r="BA16" s="70">
        <f t="shared" si="40"/>
        <v>626.3085940585479</v>
      </c>
      <c r="BB16" s="68">
        <f t="shared" si="41"/>
        <v>234787.28046190704</v>
      </c>
      <c r="BC16" s="69">
        <f t="shared" si="14"/>
        <v>1467.420502886919</v>
      </c>
      <c r="BD16" s="70">
        <f t="shared" si="42"/>
        <v>630.2230227714138</v>
      </c>
      <c r="BE16" s="68">
        <f t="shared" si="43"/>
        <v>234157.05743913562</v>
      </c>
    </row>
    <row r="17" spans="2:57" ht="12.75" customHeight="1" thickBot="1">
      <c r="B17" s="8">
        <f t="shared" si="15"/>
        <v>15</v>
      </c>
      <c r="C17" s="9">
        <f t="shared" si="16"/>
        <v>234157.05743913562</v>
      </c>
      <c r="D17" s="9">
        <f t="shared" si="17"/>
        <v>17294.660278119685</v>
      </c>
      <c r="E17" s="9">
        <f t="shared" si="18"/>
        <v>7877.062029780306</v>
      </c>
      <c r="F17" s="10">
        <f t="shared" si="0"/>
        <v>25171.722307899992</v>
      </c>
      <c r="G17" s="10">
        <f t="shared" si="1"/>
        <v>226279.99540935532</v>
      </c>
      <c r="H17" s="9"/>
      <c r="I17" s="14">
        <f t="shared" si="44"/>
        <v>584237.7812252869</v>
      </c>
      <c r="J17" s="15">
        <f t="shared" si="19"/>
        <v>357957.78581593157</v>
      </c>
      <c r="K17" s="16">
        <f t="shared" si="2"/>
        <v>0.6126919506390157</v>
      </c>
      <c r="L17" s="7"/>
      <c r="M17" s="18" t="s">
        <v>33</v>
      </c>
      <c r="N17" s="43">
        <f>N8+N11+M16+N14</f>
        <v>2799.9872756583327</v>
      </c>
      <c r="U17" s="68">
        <f t="shared" si="45"/>
        <v>234157.05743913562</v>
      </c>
      <c r="V17" s="69">
        <f t="shared" si="3"/>
        <v>1463.4816089945975</v>
      </c>
      <c r="W17" s="70">
        <f t="shared" si="20"/>
        <v>634.1619166637352</v>
      </c>
      <c r="X17" s="68">
        <f t="shared" si="21"/>
        <v>233522.8955224719</v>
      </c>
      <c r="Y17" s="69">
        <f t="shared" si="4"/>
        <v>1459.5180970154493</v>
      </c>
      <c r="Z17" s="70">
        <f t="shared" si="22"/>
        <v>638.1254286428834</v>
      </c>
      <c r="AA17" s="68">
        <f t="shared" si="23"/>
        <v>232884.77009382902</v>
      </c>
      <c r="AB17" s="69">
        <f t="shared" si="5"/>
        <v>1455.5298130864312</v>
      </c>
      <c r="AC17" s="70">
        <f t="shared" si="24"/>
        <v>642.1137125719015</v>
      </c>
      <c r="AD17" s="68">
        <f t="shared" si="25"/>
        <v>232242.6563812571</v>
      </c>
      <c r="AE17" s="69">
        <f t="shared" si="6"/>
        <v>1451.5166023828567</v>
      </c>
      <c r="AF17" s="70">
        <f t="shared" si="26"/>
        <v>646.126923275476</v>
      </c>
      <c r="AG17" s="68">
        <f t="shared" si="27"/>
        <v>231596.52945798164</v>
      </c>
      <c r="AH17" s="69">
        <f t="shared" si="7"/>
        <v>1447.4783091123852</v>
      </c>
      <c r="AI17" s="70">
        <f t="shared" si="28"/>
        <v>650.1652165459475</v>
      </c>
      <c r="AJ17" s="68">
        <f t="shared" si="29"/>
        <v>230946.3642414357</v>
      </c>
      <c r="AK17" s="69">
        <f t="shared" si="8"/>
        <v>1443.4147765089729</v>
      </c>
      <c r="AL17" s="70">
        <f t="shared" si="30"/>
        <v>654.2287491493598</v>
      </c>
      <c r="AM17" s="68">
        <f t="shared" si="31"/>
        <v>230292.13549228632</v>
      </c>
      <c r="AN17" s="69">
        <f t="shared" si="9"/>
        <v>1439.3258468267893</v>
      </c>
      <c r="AO17" s="70">
        <f t="shared" si="32"/>
        <v>658.3176788315434</v>
      </c>
      <c r="AP17" s="68">
        <f t="shared" si="33"/>
        <v>229633.81781345478</v>
      </c>
      <c r="AQ17" s="69">
        <f t="shared" si="10"/>
        <v>1435.2113613340923</v>
      </c>
      <c r="AR17" s="70">
        <f t="shared" si="34"/>
        <v>662.4321643242404</v>
      </c>
      <c r="AS17" s="68">
        <f t="shared" si="35"/>
        <v>228971.38564913053</v>
      </c>
      <c r="AT17" s="69">
        <f t="shared" si="11"/>
        <v>1431.0711603070656</v>
      </c>
      <c r="AU17" s="70">
        <f t="shared" si="36"/>
        <v>666.5723653512671</v>
      </c>
      <c r="AV17" s="68">
        <f t="shared" si="37"/>
        <v>228304.81328377928</v>
      </c>
      <c r="AW17" s="69">
        <f t="shared" si="12"/>
        <v>1426.9050830236204</v>
      </c>
      <c r="AX17" s="70">
        <f t="shared" si="38"/>
        <v>670.7384426347123</v>
      </c>
      <c r="AY17" s="68">
        <f t="shared" si="39"/>
        <v>227634.07484114458</v>
      </c>
      <c r="AZ17" s="69">
        <f t="shared" si="13"/>
        <v>1422.7129677571536</v>
      </c>
      <c r="BA17" s="70">
        <f t="shared" si="40"/>
        <v>674.9305579011791</v>
      </c>
      <c r="BB17" s="68">
        <f t="shared" si="41"/>
        <v>226959.1442832434</v>
      </c>
      <c r="BC17" s="69">
        <f t="shared" si="14"/>
        <v>1418.494651770271</v>
      </c>
      <c r="BD17" s="70">
        <f t="shared" si="42"/>
        <v>679.1488738880616</v>
      </c>
      <c r="BE17" s="68">
        <f t="shared" si="43"/>
        <v>226279.99540935532</v>
      </c>
    </row>
    <row r="18" spans="2:57" ht="12.75" customHeight="1">
      <c r="B18" s="8">
        <f t="shared" si="15"/>
        <v>16</v>
      </c>
      <c r="C18" s="9">
        <f t="shared" si="16"/>
        <v>226279.99540935532</v>
      </c>
      <c r="D18" s="9">
        <f t="shared" si="17"/>
        <v>16683.14348139768</v>
      </c>
      <c r="E18" s="9">
        <f t="shared" si="18"/>
        <v>8488.57882650231</v>
      </c>
      <c r="F18" s="10">
        <f t="shared" si="0"/>
        <v>25171.722307899992</v>
      </c>
      <c r="G18" s="10">
        <f t="shared" si="1"/>
        <v>217791.416582853</v>
      </c>
      <c r="H18" s="9"/>
      <c r="I18" s="14">
        <f t="shared" si="44"/>
        <v>601764.9146620455</v>
      </c>
      <c r="J18" s="15">
        <f t="shared" si="19"/>
        <v>383973.49807919253</v>
      </c>
      <c r="K18" s="16">
        <f t="shared" si="2"/>
        <v>0.6380789054390685</v>
      </c>
      <c r="L18" s="7"/>
      <c r="M18" s="31">
        <v>150000</v>
      </c>
      <c r="N18" s="38" t="s">
        <v>21</v>
      </c>
      <c r="U18" s="68">
        <f t="shared" si="45"/>
        <v>226279.99540935532</v>
      </c>
      <c r="V18" s="69">
        <f t="shared" si="3"/>
        <v>1414.2499713084705</v>
      </c>
      <c r="W18" s="70">
        <f t="shared" si="20"/>
        <v>683.3935543498621</v>
      </c>
      <c r="X18" s="68">
        <f t="shared" si="21"/>
        <v>225596.60185500546</v>
      </c>
      <c r="Y18" s="69">
        <f t="shared" si="4"/>
        <v>1409.978761593784</v>
      </c>
      <c r="Z18" s="70">
        <f t="shared" si="22"/>
        <v>687.6647640645488</v>
      </c>
      <c r="AA18" s="68">
        <f t="shared" si="23"/>
        <v>224908.93709094092</v>
      </c>
      <c r="AB18" s="69">
        <f t="shared" si="5"/>
        <v>1405.6808568183806</v>
      </c>
      <c r="AC18" s="70">
        <f t="shared" si="24"/>
        <v>691.9626688399521</v>
      </c>
      <c r="AD18" s="68">
        <f t="shared" si="25"/>
        <v>224216.97442210096</v>
      </c>
      <c r="AE18" s="69">
        <f t="shared" si="6"/>
        <v>1401.3560901381309</v>
      </c>
      <c r="AF18" s="70">
        <f t="shared" si="26"/>
        <v>696.2874355202018</v>
      </c>
      <c r="AG18" s="68">
        <f t="shared" si="27"/>
        <v>223520.68698658075</v>
      </c>
      <c r="AH18" s="69">
        <f t="shared" si="7"/>
        <v>1397.0042936661296</v>
      </c>
      <c r="AI18" s="70">
        <f t="shared" si="28"/>
        <v>700.6392319922031</v>
      </c>
      <c r="AJ18" s="68">
        <f t="shared" si="29"/>
        <v>222820.04775458854</v>
      </c>
      <c r="AK18" s="69">
        <f t="shared" si="8"/>
        <v>1392.6252984661783</v>
      </c>
      <c r="AL18" s="70">
        <f t="shared" si="30"/>
        <v>705.0182271921544</v>
      </c>
      <c r="AM18" s="68">
        <f t="shared" si="31"/>
        <v>222115.02952739637</v>
      </c>
      <c r="AN18" s="69">
        <f t="shared" si="9"/>
        <v>1388.2189345462273</v>
      </c>
      <c r="AO18" s="70">
        <f t="shared" si="32"/>
        <v>709.4245911121054</v>
      </c>
      <c r="AP18" s="68">
        <f t="shared" si="33"/>
        <v>221405.60493628428</v>
      </c>
      <c r="AQ18" s="69">
        <f t="shared" si="10"/>
        <v>1383.7850308517766</v>
      </c>
      <c r="AR18" s="70">
        <f t="shared" si="34"/>
        <v>713.8584948065561</v>
      </c>
      <c r="AS18" s="68">
        <f t="shared" si="35"/>
        <v>220691.7464414777</v>
      </c>
      <c r="AT18" s="69">
        <f t="shared" si="11"/>
        <v>1379.3234152592356</v>
      </c>
      <c r="AU18" s="70">
        <f t="shared" si="36"/>
        <v>718.3201103990971</v>
      </c>
      <c r="AV18" s="68">
        <f t="shared" si="37"/>
        <v>219973.4263310786</v>
      </c>
      <c r="AW18" s="69">
        <f t="shared" si="12"/>
        <v>1374.8339145692412</v>
      </c>
      <c r="AX18" s="70">
        <f t="shared" si="38"/>
        <v>722.8096110890915</v>
      </c>
      <c r="AY18" s="68">
        <f t="shared" si="39"/>
        <v>219250.6167199895</v>
      </c>
      <c r="AZ18" s="69">
        <f t="shared" si="13"/>
        <v>1370.3163544999343</v>
      </c>
      <c r="BA18" s="70">
        <f t="shared" si="40"/>
        <v>727.3271711583984</v>
      </c>
      <c r="BB18" s="68">
        <f t="shared" si="41"/>
        <v>218523.28954883112</v>
      </c>
      <c r="BC18" s="69">
        <f t="shared" si="14"/>
        <v>1365.7705596801943</v>
      </c>
      <c r="BD18" s="70">
        <f t="shared" si="42"/>
        <v>731.8729659781384</v>
      </c>
      <c r="BE18" s="68">
        <f t="shared" si="43"/>
        <v>217791.41658285298</v>
      </c>
    </row>
    <row r="19" spans="2:57" ht="12.75" customHeight="1">
      <c r="B19" s="8">
        <f t="shared" si="15"/>
        <v>17</v>
      </c>
      <c r="C19" s="9">
        <f t="shared" si="16"/>
        <v>217791.416582853</v>
      </c>
      <c r="D19" s="9">
        <f t="shared" si="17"/>
        <v>16024.15304650204</v>
      </c>
      <c r="E19" s="9">
        <f t="shared" si="18"/>
        <v>9147.569261397955</v>
      </c>
      <c r="F19" s="10">
        <f t="shared" si="0"/>
        <v>25171.722307899992</v>
      </c>
      <c r="G19" s="10">
        <f t="shared" si="1"/>
        <v>208643.84732145505</v>
      </c>
      <c r="H19" s="9"/>
      <c r="I19" s="14">
        <f t="shared" si="44"/>
        <v>619817.8621019069</v>
      </c>
      <c r="J19" s="15">
        <f t="shared" si="19"/>
        <v>411174.0147804519</v>
      </c>
      <c r="K19" s="16">
        <f t="shared" si="2"/>
        <v>0.6633787761231847</v>
      </c>
      <c r="L19" s="7"/>
      <c r="M19" s="55" t="s">
        <v>38</v>
      </c>
      <c r="N19" s="41" t="s">
        <v>22</v>
      </c>
      <c r="U19" s="68">
        <f t="shared" si="45"/>
        <v>217791.41658285298</v>
      </c>
      <c r="V19" s="69">
        <f t="shared" si="3"/>
        <v>1361.1963536428311</v>
      </c>
      <c r="W19" s="70">
        <f t="shared" si="20"/>
        <v>736.4471720155016</v>
      </c>
      <c r="X19" s="68">
        <f t="shared" si="21"/>
        <v>217054.96941083748</v>
      </c>
      <c r="Y19" s="69">
        <f t="shared" si="4"/>
        <v>1356.5935588177342</v>
      </c>
      <c r="Z19" s="70">
        <f t="shared" si="22"/>
        <v>741.0499668405985</v>
      </c>
      <c r="AA19" s="68">
        <f t="shared" si="23"/>
        <v>216313.91944399689</v>
      </c>
      <c r="AB19" s="69">
        <f t="shared" si="5"/>
        <v>1351.9619965249803</v>
      </c>
      <c r="AC19" s="70">
        <f t="shared" si="24"/>
        <v>745.6815291333523</v>
      </c>
      <c r="AD19" s="68">
        <f t="shared" si="25"/>
        <v>215568.23791486354</v>
      </c>
      <c r="AE19" s="69">
        <f t="shared" si="6"/>
        <v>1347.301486967897</v>
      </c>
      <c r="AF19" s="70">
        <f t="shared" si="26"/>
        <v>750.3420386904356</v>
      </c>
      <c r="AG19" s="68">
        <f t="shared" si="27"/>
        <v>214817.8958761731</v>
      </c>
      <c r="AH19" s="69">
        <f t="shared" si="7"/>
        <v>1342.6118492260819</v>
      </c>
      <c r="AI19" s="70">
        <f t="shared" si="28"/>
        <v>755.0316764322508</v>
      </c>
      <c r="AJ19" s="68">
        <f t="shared" si="29"/>
        <v>214062.86419974084</v>
      </c>
      <c r="AK19" s="69">
        <f t="shared" si="8"/>
        <v>1337.8929012483802</v>
      </c>
      <c r="AL19" s="70">
        <f t="shared" si="30"/>
        <v>759.7506244099525</v>
      </c>
      <c r="AM19" s="68">
        <f t="shared" si="31"/>
        <v>213303.11357533088</v>
      </c>
      <c r="AN19" s="69">
        <f t="shared" si="9"/>
        <v>1333.144459845818</v>
      </c>
      <c r="AO19" s="70">
        <f t="shared" si="32"/>
        <v>764.4990658125148</v>
      </c>
      <c r="AP19" s="68">
        <f t="shared" si="33"/>
        <v>212538.61450951837</v>
      </c>
      <c r="AQ19" s="69">
        <f t="shared" si="10"/>
        <v>1328.3663406844898</v>
      </c>
      <c r="AR19" s="70">
        <f t="shared" si="34"/>
        <v>769.2771849738429</v>
      </c>
      <c r="AS19" s="68">
        <f t="shared" si="35"/>
        <v>211769.33732454453</v>
      </c>
      <c r="AT19" s="69">
        <f t="shared" si="11"/>
        <v>1323.5583582784031</v>
      </c>
      <c r="AU19" s="70">
        <f t="shared" si="36"/>
        <v>774.0851673799295</v>
      </c>
      <c r="AV19" s="68">
        <f t="shared" si="37"/>
        <v>210995.2521571646</v>
      </c>
      <c r="AW19" s="69">
        <f t="shared" si="12"/>
        <v>1318.7203259822786</v>
      </c>
      <c r="AX19" s="70">
        <f t="shared" si="38"/>
        <v>778.9231996760541</v>
      </c>
      <c r="AY19" s="68">
        <f t="shared" si="39"/>
        <v>210216.32895748853</v>
      </c>
      <c r="AZ19" s="69">
        <f t="shared" si="13"/>
        <v>1313.8520559843032</v>
      </c>
      <c r="BA19" s="70">
        <f t="shared" si="40"/>
        <v>783.7914696740295</v>
      </c>
      <c r="BB19" s="68">
        <f t="shared" si="41"/>
        <v>209432.5374878145</v>
      </c>
      <c r="BC19" s="69">
        <f t="shared" si="14"/>
        <v>1308.9533592988405</v>
      </c>
      <c r="BD19" s="70">
        <f t="shared" si="42"/>
        <v>788.6901663594922</v>
      </c>
      <c r="BE19" s="68">
        <f t="shared" si="43"/>
        <v>208643.847321455</v>
      </c>
    </row>
    <row r="20" spans="2:57" ht="12.75" customHeight="1">
      <c r="B20" s="8">
        <f t="shared" si="15"/>
        <v>18</v>
      </c>
      <c r="C20" s="9">
        <f t="shared" si="16"/>
        <v>208643.84732145505</v>
      </c>
      <c r="D20" s="9">
        <f t="shared" si="17"/>
        <v>15314.003471524173</v>
      </c>
      <c r="E20" s="9">
        <f t="shared" si="18"/>
        <v>9857.718836375818</v>
      </c>
      <c r="F20" s="10">
        <f t="shared" si="0"/>
        <v>25171.722307899992</v>
      </c>
      <c r="G20" s="10">
        <f t="shared" si="1"/>
        <v>198786.1284850792</v>
      </c>
      <c r="H20" s="9"/>
      <c r="I20" s="14">
        <f t="shared" si="44"/>
        <v>638412.3979649642</v>
      </c>
      <c r="J20" s="15">
        <f t="shared" si="19"/>
        <v>439626.26947988494</v>
      </c>
      <c r="K20" s="16">
        <f t="shared" si="2"/>
        <v>0.6886242668238587</v>
      </c>
      <c r="L20" s="7"/>
      <c r="M20" s="18" t="s">
        <v>39</v>
      </c>
      <c r="N20" s="40">
        <f>(N17+M21)/(M18/12)</f>
        <v>0.2239989820526666</v>
      </c>
      <c r="U20" s="68">
        <f t="shared" si="45"/>
        <v>208643.847321455</v>
      </c>
      <c r="V20" s="69">
        <f t="shared" si="3"/>
        <v>1304.0240457590935</v>
      </c>
      <c r="W20" s="70">
        <f t="shared" si="20"/>
        <v>793.6194798992392</v>
      </c>
      <c r="X20" s="68">
        <f t="shared" si="21"/>
        <v>207850.22784155575</v>
      </c>
      <c r="Y20" s="69">
        <f t="shared" si="4"/>
        <v>1299.0639240097235</v>
      </c>
      <c r="Z20" s="70">
        <f t="shared" si="22"/>
        <v>798.5796016486092</v>
      </c>
      <c r="AA20" s="68">
        <f t="shared" si="23"/>
        <v>207051.64823990714</v>
      </c>
      <c r="AB20" s="69">
        <f t="shared" si="5"/>
        <v>1294.0728014994195</v>
      </c>
      <c r="AC20" s="70">
        <f t="shared" si="24"/>
        <v>803.5707241589132</v>
      </c>
      <c r="AD20" s="68">
        <f t="shared" si="25"/>
        <v>206248.0775157482</v>
      </c>
      <c r="AE20" s="69">
        <f t="shared" si="6"/>
        <v>1289.0504844734262</v>
      </c>
      <c r="AF20" s="70">
        <f t="shared" si="26"/>
        <v>808.5930411849065</v>
      </c>
      <c r="AG20" s="68">
        <f t="shared" si="27"/>
        <v>205439.4844745633</v>
      </c>
      <c r="AH20" s="69">
        <f t="shared" si="7"/>
        <v>1283.9967779660205</v>
      </c>
      <c r="AI20" s="70">
        <f t="shared" si="28"/>
        <v>813.6467476923121</v>
      </c>
      <c r="AJ20" s="68">
        <f t="shared" si="29"/>
        <v>204625.837726871</v>
      </c>
      <c r="AK20" s="69">
        <f t="shared" si="8"/>
        <v>1278.9114857929435</v>
      </c>
      <c r="AL20" s="70">
        <f t="shared" si="30"/>
        <v>818.7320398653892</v>
      </c>
      <c r="AM20" s="68">
        <f t="shared" si="31"/>
        <v>203807.1056870056</v>
      </c>
      <c r="AN20" s="69">
        <f t="shared" si="9"/>
        <v>1273.7944105437848</v>
      </c>
      <c r="AO20" s="70">
        <f t="shared" si="32"/>
        <v>823.8491151145479</v>
      </c>
      <c r="AP20" s="68">
        <f t="shared" si="33"/>
        <v>202983.25657189105</v>
      </c>
      <c r="AQ20" s="69">
        <f t="shared" si="10"/>
        <v>1268.645353574319</v>
      </c>
      <c r="AR20" s="70">
        <f t="shared" si="34"/>
        <v>828.9981720840137</v>
      </c>
      <c r="AS20" s="68">
        <f t="shared" si="35"/>
        <v>202154.25839980703</v>
      </c>
      <c r="AT20" s="69">
        <f t="shared" si="11"/>
        <v>1263.4641149987938</v>
      </c>
      <c r="AU20" s="70">
        <f t="shared" si="36"/>
        <v>834.1794106595389</v>
      </c>
      <c r="AV20" s="68">
        <f t="shared" si="37"/>
        <v>201320.0789891475</v>
      </c>
      <c r="AW20" s="69">
        <f t="shared" si="12"/>
        <v>1258.2504936821717</v>
      </c>
      <c r="AX20" s="70">
        <f t="shared" si="38"/>
        <v>839.393031976161</v>
      </c>
      <c r="AY20" s="68">
        <f t="shared" si="39"/>
        <v>200480.68595717134</v>
      </c>
      <c r="AZ20" s="69">
        <f t="shared" si="13"/>
        <v>1253.0042872323208</v>
      </c>
      <c r="BA20" s="70">
        <f t="shared" si="40"/>
        <v>844.6392384260118</v>
      </c>
      <c r="BB20" s="68">
        <f t="shared" si="41"/>
        <v>199636.04671874532</v>
      </c>
      <c r="BC20" s="69">
        <f t="shared" si="14"/>
        <v>1247.7252919921582</v>
      </c>
      <c r="BD20" s="70">
        <f t="shared" si="42"/>
        <v>849.9182336661745</v>
      </c>
      <c r="BE20" s="68">
        <f t="shared" si="43"/>
        <v>198786.12848507916</v>
      </c>
    </row>
    <row r="21" spans="2:57" ht="12.75" customHeight="1">
      <c r="B21" s="8">
        <f t="shared" si="15"/>
        <v>19</v>
      </c>
      <c r="C21" s="9">
        <f t="shared" si="16"/>
        <v>198786.1284850792</v>
      </c>
      <c r="D21" s="9">
        <f t="shared" si="17"/>
        <v>14548.72313946428</v>
      </c>
      <c r="E21" s="9">
        <f t="shared" si="18"/>
        <v>10622.999168435712</v>
      </c>
      <c r="F21" s="10">
        <f t="shared" si="0"/>
        <v>25171.722307899992</v>
      </c>
      <c r="G21" s="10">
        <f t="shared" si="1"/>
        <v>188163.1293166435</v>
      </c>
      <c r="H21" s="9"/>
      <c r="I21" s="14">
        <f t="shared" si="44"/>
        <v>657564.7699039131</v>
      </c>
      <c r="J21" s="15">
        <f t="shared" si="19"/>
        <v>469401.6405872697</v>
      </c>
      <c r="K21" s="16">
        <f t="shared" si="2"/>
        <v>0.7138485242387015</v>
      </c>
      <c r="L21" s="7"/>
      <c r="M21" s="31">
        <v>0</v>
      </c>
      <c r="N21" s="38" t="s">
        <v>27</v>
      </c>
      <c r="U21" s="68">
        <f t="shared" si="45"/>
        <v>198786.12848507916</v>
      </c>
      <c r="V21" s="69">
        <f t="shared" si="3"/>
        <v>1242.4133030317446</v>
      </c>
      <c r="W21" s="70">
        <f t="shared" si="20"/>
        <v>855.2302226265881</v>
      </c>
      <c r="X21" s="68">
        <f t="shared" si="21"/>
        <v>197930.89826245257</v>
      </c>
      <c r="Y21" s="69">
        <f t="shared" si="4"/>
        <v>1237.0681141403284</v>
      </c>
      <c r="Z21" s="70">
        <f t="shared" si="22"/>
        <v>860.5754115180043</v>
      </c>
      <c r="AA21" s="68">
        <f t="shared" si="23"/>
        <v>197070.32285093455</v>
      </c>
      <c r="AB21" s="69">
        <f t="shared" si="5"/>
        <v>1231.6895178183408</v>
      </c>
      <c r="AC21" s="70">
        <f t="shared" si="24"/>
        <v>865.9540078399918</v>
      </c>
      <c r="AD21" s="68">
        <f t="shared" si="25"/>
        <v>196204.36884309456</v>
      </c>
      <c r="AE21" s="69">
        <f t="shared" si="6"/>
        <v>1226.277305269341</v>
      </c>
      <c r="AF21" s="70">
        <f t="shared" si="26"/>
        <v>871.3662203889917</v>
      </c>
      <c r="AG21" s="68">
        <f t="shared" si="27"/>
        <v>195333.00262270556</v>
      </c>
      <c r="AH21" s="69">
        <f t="shared" si="7"/>
        <v>1220.8312663919096</v>
      </c>
      <c r="AI21" s="70">
        <f t="shared" si="28"/>
        <v>876.8122592664231</v>
      </c>
      <c r="AJ21" s="68">
        <f t="shared" si="29"/>
        <v>194456.19036343915</v>
      </c>
      <c r="AK21" s="69">
        <f t="shared" si="8"/>
        <v>1215.3511897714945</v>
      </c>
      <c r="AL21" s="70">
        <f t="shared" si="30"/>
        <v>882.2923358868381</v>
      </c>
      <c r="AM21" s="68">
        <f t="shared" si="31"/>
        <v>193573.89802755232</v>
      </c>
      <c r="AN21" s="69">
        <f t="shared" si="9"/>
        <v>1209.836862672202</v>
      </c>
      <c r="AO21" s="70">
        <f t="shared" si="32"/>
        <v>887.8066629861307</v>
      </c>
      <c r="AP21" s="68">
        <f t="shared" si="33"/>
        <v>192686.09136456618</v>
      </c>
      <c r="AQ21" s="69">
        <f t="shared" si="10"/>
        <v>1204.2880710285385</v>
      </c>
      <c r="AR21" s="70">
        <f t="shared" si="34"/>
        <v>893.3554546297942</v>
      </c>
      <c r="AS21" s="68">
        <f t="shared" si="35"/>
        <v>191792.7359099364</v>
      </c>
      <c r="AT21" s="69">
        <f t="shared" si="11"/>
        <v>1198.7045994371024</v>
      </c>
      <c r="AU21" s="70">
        <f t="shared" si="36"/>
        <v>898.9389262212303</v>
      </c>
      <c r="AV21" s="68">
        <f t="shared" si="37"/>
        <v>190893.79698371518</v>
      </c>
      <c r="AW21" s="69">
        <f t="shared" si="12"/>
        <v>1193.0862311482197</v>
      </c>
      <c r="AX21" s="70">
        <f t="shared" si="38"/>
        <v>904.557294510113</v>
      </c>
      <c r="AY21" s="68">
        <f t="shared" si="39"/>
        <v>189989.23968920507</v>
      </c>
      <c r="AZ21" s="69">
        <f t="shared" si="13"/>
        <v>1187.4327480575316</v>
      </c>
      <c r="BA21" s="70">
        <f t="shared" si="40"/>
        <v>910.2107776008011</v>
      </c>
      <c r="BB21" s="68">
        <f t="shared" si="41"/>
        <v>189079.02891160428</v>
      </c>
      <c r="BC21" s="69">
        <f t="shared" si="14"/>
        <v>1181.7439306975266</v>
      </c>
      <c r="BD21" s="70">
        <f t="shared" si="42"/>
        <v>915.8995949608061</v>
      </c>
      <c r="BE21" s="68">
        <f t="shared" si="43"/>
        <v>188163.1293166435</v>
      </c>
    </row>
    <row r="22" spans="2:57" ht="12.75" customHeight="1">
      <c r="B22" s="8">
        <f t="shared" si="15"/>
        <v>20</v>
      </c>
      <c r="C22" s="9">
        <f t="shared" si="16"/>
        <v>188163.1293166435</v>
      </c>
      <c r="D22" s="9">
        <f t="shared" si="17"/>
        <v>13724.032106373172</v>
      </c>
      <c r="E22" s="9">
        <f t="shared" si="18"/>
        <v>11447.690201526819</v>
      </c>
      <c r="F22" s="10">
        <f t="shared" si="0"/>
        <v>25171.722307899992</v>
      </c>
      <c r="G22" s="10">
        <f t="shared" si="1"/>
        <v>176715.43911511666</v>
      </c>
      <c r="H22" s="9"/>
      <c r="I22" s="14">
        <f t="shared" si="44"/>
        <v>677291.7130010305</v>
      </c>
      <c r="J22" s="15">
        <f t="shared" si="19"/>
        <v>500576.27388591383</v>
      </c>
      <c r="K22" s="16">
        <f t="shared" si="2"/>
        <v>0.739085189257516</v>
      </c>
      <c r="L22" s="7"/>
      <c r="M22" s="18" t="s">
        <v>19</v>
      </c>
      <c r="N22" s="45">
        <v>0.33</v>
      </c>
      <c r="U22" s="68">
        <f t="shared" si="45"/>
        <v>188163.1293166435</v>
      </c>
      <c r="V22" s="69">
        <f t="shared" si="3"/>
        <v>1176.0195582290216</v>
      </c>
      <c r="W22" s="70">
        <f t="shared" si="20"/>
        <v>921.623967429311</v>
      </c>
      <c r="X22" s="68">
        <f t="shared" si="21"/>
        <v>187241.5053492142</v>
      </c>
      <c r="Y22" s="69">
        <f t="shared" si="4"/>
        <v>1170.2594084325885</v>
      </c>
      <c r="Z22" s="70">
        <f t="shared" si="22"/>
        <v>927.3841172257441</v>
      </c>
      <c r="AA22" s="68">
        <f t="shared" si="23"/>
        <v>186314.12123198845</v>
      </c>
      <c r="AB22" s="69">
        <f t="shared" si="5"/>
        <v>1164.4632576999277</v>
      </c>
      <c r="AC22" s="70">
        <f t="shared" si="24"/>
        <v>933.180267958405</v>
      </c>
      <c r="AD22" s="68">
        <f t="shared" si="25"/>
        <v>185380.94096403004</v>
      </c>
      <c r="AE22" s="69">
        <f t="shared" si="6"/>
        <v>1158.6308810251876</v>
      </c>
      <c r="AF22" s="70">
        <f t="shared" si="26"/>
        <v>939.0126446331451</v>
      </c>
      <c r="AG22" s="68">
        <f t="shared" si="27"/>
        <v>184441.9283193969</v>
      </c>
      <c r="AH22" s="69">
        <f t="shared" si="7"/>
        <v>1152.7620519962304</v>
      </c>
      <c r="AI22" s="70">
        <f t="shared" si="28"/>
        <v>944.8814736621023</v>
      </c>
      <c r="AJ22" s="68">
        <f t="shared" si="29"/>
        <v>183497.0468457348</v>
      </c>
      <c r="AK22" s="69">
        <f t="shared" si="8"/>
        <v>1146.8565427858423</v>
      </c>
      <c r="AL22" s="70">
        <f t="shared" si="30"/>
        <v>950.7869828724904</v>
      </c>
      <c r="AM22" s="68">
        <f t="shared" si="31"/>
        <v>182546.2598628623</v>
      </c>
      <c r="AN22" s="69">
        <f t="shared" si="9"/>
        <v>1140.9141241428892</v>
      </c>
      <c r="AO22" s="70">
        <f t="shared" si="32"/>
        <v>956.7294015154434</v>
      </c>
      <c r="AP22" s="68">
        <f t="shared" si="33"/>
        <v>181589.53046134685</v>
      </c>
      <c r="AQ22" s="69">
        <f t="shared" si="10"/>
        <v>1134.9345653834177</v>
      </c>
      <c r="AR22" s="70">
        <f t="shared" si="34"/>
        <v>962.708960274915</v>
      </c>
      <c r="AS22" s="68">
        <f t="shared" si="35"/>
        <v>180626.82150107194</v>
      </c>
      <c r="AT22" s="69">
        <f t="shared" si="11"/>
        <v>1128.9176343816996</v>
      </c>
      <c r="AU22" s="70">
        <f t="shared" si="36"/>
        <v>968.7258912766331</v>
      </c>
      <c r="AV22" s="68">
        <f t="shared" si="37"/>
        <v>179658.0956097953</v>
      </c>
      <c r="AW22" s="69">
        <f t="shared" si="12"/>
        <v>1122.8630975612205</v>
      </c>
      <c r="AX22" s="70">
        <f t="shared" si="38"/>
        <v>974.7804280971122</v>
      </c>
      <c r="AY22" s="68">
        <f t="shared" si="39"/>
        <v>178683.31518169818</v>
      </c>
      <c r="AZ22" s="69">
        <f t="shared" si="13"/>
        <v>1116.7707198856135</v>
      </c>
      <c r="BA22" s="70">
        <f t="shared" si="40"/>
        <v>980.8728057727192</v>
      </c>
      <c r="BB22" s="68">
        <f t="shared" si="41"/>
        <v>177702.44237592546</v>
      </c>
      <c r="BC22" s="69">
        <f t="shared" si="14"/>
        <v>1110.640264849534</v>
      </c>
      <c r="BD22" s="70">
        <f t="shared" si="42"/>
        <v>987.0032608087986</v>
      </c>
      <c r="BE22" s="68">
        <f t="shared" si="43"/>
        <v>176715.43911511666</v>
      </c>
    </row>
    <row r="23" spans="2:57" ht="12.75" customHeight="1">
      <c r="B23" s="8">
        <f t="shared" si="15"/>
        <v>21</v>
      </c>
      <c r="C23" s="9">
        <f t="shared" si="16"/>
        <v>176715.43911511666</v>
      </c>
      <c r="D23" s="9">
        <f t="shared" si="17"/>
        <v>12835.318165129936</v>
      </c>
      <c r="E23" s="9">
        <f t="shared" si="18"/>
        <v>12336.404142770056</v>
      </c>
      <c r="F23" s="10">
        <f t="shared" si="0"/>
        <v>25171.722307899992</v>
      </c>
      <c r="G23" s="10">
        <f t="shared" si="1"/>
        <v>164379.03497234662</v>
      </c>
      <c r="H23" s="9"/>
      <c r="I23" s="14">
        <f t="shared" si="44"/>
        <v>697610.4643910615</v>
      </c>
      <c r="J23" s="15">
        <f t="shared" si="19"/>
        <v>533231.4294187148</v>
      </c>
      <c r="K23" s="16">
        <f t="shared" si="2"/>
        <v>0.7643684500692922</v>
      </c>
      <c r="L23" s="7"/>
      <c r="M23" s="72">
        <f>I3/1000*12.5</f>
        <v>4828.125</v>
      </c>
      <c r="N23" s="38" t="s">
        <v>26</v>
      </c>
      <c r="U23" s="68">
        <f t="shared" si="45"/>
        <v>176715.43911511666</v>
      </c>
      <c r="V23" s="69">
        <f t="shared" si="3"/>
        <v>1104.471494469479</v>
      </c>
      <c r="W23" s="70">
        <f t="shared" si="20"/>
        <v>993.1720311888537</v>
      </c>
      <c r="X23" s="68">
        <f t="shared" si="21"/>
        <v>175722.2670839278</v>
      </c>
      <c r="Y23" s="69">
        <f t="shared" si="4"/>
        <v>1098.2641692745487</v>
      </c>
      <c r="Z23" s="70">
        <f t="shared" si="22"/>
        <v>999.3793563837839</v>
      </c>
      <c r="AA23" s="68">
        <f t="shared" si="23"/>
        <v>174722.88772754403</v>
      </c>
      <c r="AB23" s="69">
        <f t="shared" si="5"/>
        <v>1092.01804829715</v>
      </c>
      <c r="AC23" s="70">
        <f t="shared" si="24"/>
        <v>1005.6254773611827</v>
      </c>
      <c r="AD23" s="68">
        <f t="shared" si="25"/>
        <v>173717.26225018286</v>
      </c>
      <c r="AE23" s="69">
        <f t="shared" si="6"/>
        <v>1085.7328890636427</v>
      </c>
      <c r="AF23" s="70">
        <f t="shared" si="26"/>
        <v>1011.91063659469</v>
      </c>
      <c r="AG23" s="68">
        <f t="shared" si="27"/>
        <v>172705.35161358817</v>
      </c>
      <c r="AH23" s="69">
        <f t="shared" si="7"/>
        <v>1079.4084475849259</v>
      </c>
      <c r="AI23" s="70">
        <f t="shared" si="28"/>
        <v>1018.2350780734068</v>
      </c>
      <c r="AJ23" s="68">
        <f t="shared" si="29"/>
        <v>171687.11653551477</v>
      </c>
      <c r="AK23" s="69">
        <f t="shared" si="8"/>
        <v>1073.0444783469673</v>
      </c>
      <c r="AL23" s="70">
        <f t="shared" si="30"/>
        <v>1024.5990473113654</v>
      </c>
      <c r="AM23" s="68">
        <f t="shared" si="31"/>
        <v>170662.5174882034</v>
      </c>
      <c r="AN23" s="69">
        <f t="shared" si="9"/>
        <v>1066.640734301271</v>
      </c>
      <c r="AO23" s="70">
        <f t="shared" si="32"/>
        <v>1031.0027913570616</v>
      </c>
      <c r="AP23" s="68">
        <f t="shared" si="33"/>
        <v>169631.51469684634</v>
      </c>
      <c r="AQ23" s="69">
        <f t="shared" si="10"/>
        <v>1060.1969668552895</v>
      </c>
      <c r="AR23" s="70">
        <f t="shared" si="34"/>
        <v>1037.4465588030432</v>
      </c>
      <c r="AS23" s="68">
        <f t="shared" si="35"/>
        <v>168594.0681380433</v>
      </c>
      <c r="AT23" s="69">
        <f t="shared" si="11"/>
        <v>1053.7129258627706</v>
      </c>
      <c r="AU23" s="70">
        <f t="shared" si="36"/>
        <v>1043.930599795562</v>
      </c>
      <c r="AV23" s="68">
        <f t="shared" si="37"/>
        <v>167550.13753824774</v>
      </c>
      <c r="AW23" s="69">
        <f t="shared" si="12"/>
        <v>1047.1883596140483</v>
      </c>
      <c r="AX23" s="70">
        <f t="shared" si="38"/>
        <v>1050.4551660442844</v>
      </c>
      <c r="AY23" s="68">
        <f t="shared" si="39"/>
        <v>166499.68237220345</v>
      </c>
      <c r="AZ23" s="69">
        <f t="shared" si="13"/>
        <v>1040.6230148262714</v>
      </c>
      <c r="BA23" s="70">
        <f t="shared" si="40"/>
        <v>1057.0205108320613</v>
      </c>
      <c r="BB23" s="68">
        <f t="shared" si="41"/>
        <v>165442.6618613714</v>
      </c>
      <c r="BC23" s="69">
        <f t="shared" si="14"/>
        <v>1034.0166366335711</v>
      </c>
      <c r="BD23" s="70">
        <f t="shared" si="42"/>
        <v>1063.6268890247616</v>
      </c>
      <c r="BE23" s="68">
        <f t="shared" si="43"/>
        <v>164379.03497234662</v>
      </c>
    </row>
    <row r="24" spans="2:57" ht="12.75" customHeight="1">
      <c r="B24" s="8">
        <f t="shared" si="15"/>
        <v>22</v>
      </c>
      <c r="C24" s="9">
        <f t="shared" si="16"/>
        <v>164379.03497234662</v>
      </c>
      <c r="D24" s="9">
        <f t="shared" si="17"/>
        <v>11877.6110509884</v>
      </c>
      <c r="E24" s="9">
        <f t="shared" si="18"/>
        <v>13294.11125691159</v>
      </c>
      <c r="F24" s="10">
        <f t="shared" si="0"/>
        <v>25171.722307899992</v>
      </c>
      <c r="G24" s="10">
        <f t="shared" si="1"/>
        <v>151084.92371543503</v>
      </c>
      <c r="H24" s="9"/>
      <c r="I24" s="14">
        <f t="shared" si="44"/>
        <v>718538.7783227933</v>
      </c>
      <c r="J24" s="15">
        <f t="shared" si="19"/>
        <v>567453.8546073583</v>
      </c>
      <c r="K24" s="16">
        <f t="shared" si="2"/>
        <v>0.7897330968439922</v>
      </c>
      <c r="L24" s="7"/>
      <c r="M24" s="53" t="s">
        <v>35</v>
      </c>
      <c r="N24" s="44">
        <f>M9/(M7+M9)</f>
        <v>0.2</v>
      </c>
      <c r="U24" s="68">
        <f t="shared" si="45"/>
        <v>164379.03497234662</v>
      </c>
      <c r="V24" s="69">
        <f t="shared" si="3"/>
        <v>1027.3689685771662</v>
      </c>
      <c r="W24" s="70">
        <f t="shared" si="20"/>
        <v>1070.2745570811664</v>
      </c>
      <c r="X24" s="68">
        <f t="shared" si="21"/>
        <v>163308.76041526545</v>
      </c>
      <c r="Y24" s="69">
        <f t="shared" si="4"/>
        <v>1020.679752595409</v>
      </c>
      <c r="Z24" s="70">
        <f t="shared" si="22"/>
        <v>1076.9637730629238</v>
      </c>
      <c r="AA24" s="68">
        <f t="shared" si="23"/>
        <v>162231.79664220253</v>
      </c>
      <c r="AB24" s="69">
        <f t="shared" si="5"/>
        <v>1013.9487290137657</v>
      </c>
      <c r="AC24" s="70">
        <f t="shared" si="24"/>
        <v>1083.6947966445668</v>
      </c>
      <c r="AD24" s="68">
        <f t="shared" si="25"/>
        <v>161148.10184555798</v>
      </c>
      <c r="AE24" s="69">
        <f t="shared" si="6"/>
        <v>1007.1756365347372</v>
      </c>
      <c r="AF24" s="70">
        <f t="shared" si="26"/>
        <v>1090.4678891235953</v>
      </c>
      <c r="AG24" s="68">
        <f t="shared" si="27"/>
        <v>160057.63395643438</v>
      </c>
      <c r="AH24" s="69">
        <f t="shared" si="7"/>
        <v>1000.3602122277148</v>
      </c>
      <c r="AI24" s="70">
        <f t="shared" si="28"/>
        <v>1097.283313430618</v>
      </c>
      <c r="AJ24" s="68">
        <f t="shared" si="29"/>
        <v>158960.35064300377</v>
      </c>
      <c r="AK24" s="69">
        <f t="shared" si="8"/>
        <v>993.5021915187734</v>
      </c>
      <c r="AL24" s="70">
        <f t="shared" si="30"/>
        <v>1104.1413341395591</v>
      </c>
      <c r="AM24" s="68">
        <f t="shared" si="31"/>
        <v>157856.2093088642</v>
      </c>
      <c r="AN24" s="69">
        <f t="shared" si="9"/>
        <v>986.6013081804011</v>
      </c>
      <c r="AO24" s="70">
        <f t="shared" si="32"/>
        <v>1111.0422174779314</v>
      </c>
      <c r="AP24" s="68">
        <f t="shared" si="33"/>
        <v>156745.16709138628</v>
      </c>
      <c r="AQ24" s="69">
        <f t="shared" si="10"/>
        <v>979.6572943211642</v>
      </c>
      <c r="AR24" s="70">
        <f t="shared" si="34"/>
        <v>1117.9862313371686</v>
      </c>
      <c r="AS24" s="68">
        <f t="shared" si="35"/>
        <v>155627.18086004912</v>
      </c>
      <c r="AT24" s="69">
        <f t="shared" si="11"/>
        <v>972.6698803753069</v>
      </c>
      <c r="AU24" s="70">
        <f t="shared" si="36"/>
        <v>1124.9736452830257</v>
      </c>
      <c r="AV24" s="68">
        <f t="shared" si="37"/>
        <v>154502.2072147661</v>
      </c>
      <c r="AW24" s="69">
        <f t="shared" si="12"/>
        <v>965.638795092288</v>
      </c>
      <c r="AX24" s="70">
        <f t="shared" si="38"/>
        <v>1132.0047305660446</v>
      </c>
      <c r="AY24" s="68">
        <f t="shared" si="39"/>
        <v>153370.20248420004</v>
      </c>
      <c r="AZ24" s="69">
        <f t="shared" si="13"/>
        <v>958.5637655262501</v>
      </c>
      <c r="BA24" s="70">
        <f t="shared" si="40"/>
        <v>1139.0797601320826</v>
      </c>
      <c r="BB24" s="68">
        <f t="shared" si="41"/>
        <v>152231.12272406794</v>
      </c>
      <c r="BC24" s="69">
        <f t="shared" si="14"/>
        <v>951.4445170254246</v>
      </c>
      <c r="BD24" s="70">
        <f t="shared" si="42"/>
        <v>1146.199008632908</v>
      </c>
      <c r="BE24" s="68">
        <f t="shared" si="43"/>
        <v>151084.92371543503</v>
      </c>
    </row>
    <row r="25" spans="2:57" ht="12.75" customHeight="1">
      <c r="B25" s="8">
        <f t="shared" si="15"/>
        <v>23</v>
      </c>
      <c r="C25" s="9">
        <f t="shared" si="16"/>
        <v>151084.92371543503</v>
      </c>
      <c r="D25" s="9">
        <f t="shared" si="17"/>
        <v>10845.554644633148</v>
      </c>
      <c r="E25" s="9">
        <f t="shared" si="18"/>
        <v>14326.167663266844</v>
      </c>
      <c r="F25" s="10">
        <f t="shared" si="0"/>
        <v>25171.722307899992</v>
      </c>
      <c r="G25" s="10">
        <f t="shared" si="1"/>
        <v>136758.75605216817</v>
      </c>
      <c r="H25" s="9"/>
      <c r="I25" s="14">
        <f t="shared" si="44"/>
        <v>740094.9416724772</v>
      </c>
      <c r="J25" s="15">
        <f t="shared" si="19"/>
        <v>603336.185620309</v>
      </c>
      <c r="K25" s="16">
        <f t="shared" si="2"/>
        <v>0.8152145780876183</v>
      </c>
      <c r="L25" s="7"/>
      <c r="M25" s="71">
        <v>900</v>
      </c>
      <c r="U25" s="68">
        <f t="shared" si="45"/>
        <v>151084.92371543503</v>
      </c>
      <c r="V25" s="69">
        <f t="shared" si="3"/>
        <v>944.2807732214688</v>
      </c>
      <c r="W25" s="70">
        <f t="shared" si="20"/>
        <v>1153.362752436864</v>
      </c>
      <c r="X25" s="68">
        <f t="shared" si="21"/>
        <v>149931.56096299816</v>
      </c>
      <c r="Y25" s="69">
        <f t="shared" si="4"/>
        <v>937.0722560187385</v>
      </c>
      <c r="Z25" s="70">
        <f t="shared" si="22"/>
        <v>1160.5712696395942</v>
      </c>
      <c r="AA25" s="68">
        <f t="shared" si="23"/>
        <v>148770.98969335857</v>
      </c>
      <c r="AB25" s="69">
        <f t="shared" si="5"/>
        <v>929.818685583491</v>
      </c>
      <c r="AC25" s="70">
        <f t="shared" si="24"/>
        <v>1167.8248400748416</v>
      </c>
      <c r="AD25" s="68">
        <f t="shared" si="25"/>
        <v>147603.16485328373</v>
      </c>
      <c r="AE25" s="69">
        <f t="shared" si="6"/>
        <v>922.5197803330233</v>
      </c>
      <c r="AF25" s="70">
        <f t="shared" si="26"/>
        <v>1175.1237453253093</v>
      </c>
      <c r="AG25" s="68">
        <f t="shared" si="27"/>
        <v>146428.04110795842</v>
      </c>
      <c r="AH25" s="69">
        <f t="shared" si="7"/>
        <v>915.17525692474</v>
      </c>
      <c r="AI25" s="70">
        <f t="shared" si="28"/>
        <v>1182.4682687335926</v>
      </c>
      <c r="AJ25" s="68">
        <f t="shared" si="29"/>
        <v>145245.57283922483</v>
      </c>
      <c r="AK25" s="69">
        <f t="shared" si="8"/>
        <v>907.7848302451551</v>
      </c>
      <c r="AL25" s="70">
        <f t="shared" si="30"/>
        <v>1189.8586954131774</v>
      </c>
      <c r="AM25" s="68">
        <f t="shared" si="31"/>
        <v>144055.71414381164</v>
      </c>
      <c r="AN25" s="69">
        <f t="shared" si="9"/>
        <v>900.3482133988226</v>
      </c>
      <c r="AO25" s="70">
        <f t="shared" si="32"/>
        <v>1197.29531225951</v>
      </c>
      <c r="AP25" s="68">
        <f t="shared" si="33"/>
        <v>142858.41883155212</v>
      </c>
      <c r="AQ25" s="69">
        <f t="shared" si="10"/>
        <v>892.8651176972006</v>
      </c>
      <c r="AR25" s="70">
        <f t="shared" si="34"/>
        <v>1204.778407961132</v>
      </c>
      <c r="AS25" s="68">
        <f t="shared" si="35"/>
        <v>141653.640423591</v>
      </c>
      <c r="AT25" s="69">
        <f t="shared" si="11"/>
        <v>885.3352526474436</v>
      </c>
      <c r="AU25" s="70">
        <f t="shared" si="36"/>
        <v>1212.308273010889</v>
      </c>
      <c r="AV25" s="68">
        <f t="shared" si="37"/>
        <v>140441.3321505801</v>
      </c>
      <c r="AW25" s="69">
        <f t="shared" si="12"/>
        <v>877.7583259411256</v>
      </c>
      <c r="AX25" s="70">
        <f t="shared" si="38"/>
        <v>1219.8851997172071</v>
      </c>
      <c r="AY25" s="68">
        <f t="shared" si="39"/>
        <v>139221.44695086288</v>
      </c>
      <c r="AZ25" s="69">
        <f t="shared" si="13"/>
        <v>870.1340434428929</v>
      </c>
      <c r="BA25" s="70">
        <f t="shared" si="40"/>
        <v>1227.5094822154397</v>
      </c>
      <c r="BB25" s="68">
        <f t="shared" si="41"/>
        <v>137993.93746864743</v>
      </c>
      <c r="BC25" s="69">
        <f t="shared" si="14"/>
        <v>862.4621091790464</v>
      </c>
      <c r="BD25" s="70">
        <f t="shared" si="42"/>
        <v>1235.1814164792863</v>
      </c>
      <c r="BE25" s="68">
        <f t="shared" si="43"/>
        <v>136758.75605216814</v>
      </c>
    </row>
    <row r="26" spans="2:57" ht="12.75" customHeight="1">
      <c r="B26" s="8">
        <f t="shared" si="15"/>
        <v>24</v>
      </c>
      <c r="C26" s="9">
        <f t="shared" si="16"/>
        <v>136758.75605216817</v>
      </c>
      <c r="D26" s="9">
        <f t="shared" si="17"/>
        <v>9733.377017286522</v>
      </c>
      <c r="E26" s="9">
        <f t="shared" si="18"/>
        <v>15438.345290613466</v>
      </c>
      <c r="F26" s="10">
        <f t="shared" si="0"/>
        <v>25171.722307899992</v>
      </c>
      <c r="G26" s="10">
        <f t="shared" si="1"/>
        <v>121320.41076155471</v>
      </c>
      <c r="H26" s="9"/>
      <c r="I26" s="14">
        <f t="shared" si="44"/>
        <v>762297.7899226515</v>
      </c>
      <c r="J26" s="15">
        <f t="shared" si="19"/>
        <v>640977.3791610968</v>
      </c>
      <c r="K26" s="16">
        <f t="shared" si="2"/>
        <v>0.8408490587728651</v>
      </c>
      <c r="L26" s="7"/>
      <c r="M26" s="53" t="s">
        <v>37</v>
      </c>
      <c r="N26" s="28"/>
      <c r="U26" s="68">
        <f t="shared" si="45"/>
        <v>136758.75605216814</v>
      </c>
      <c r="V26" s="69">
        <f t="shared" si="3"/>
        <v>854.7422253260509</v>
      </c>
      <c r="W26" s="70">
        <f t="shared" si="20"/>
        <v>1242.9013003322818</v>
      </c>
      <c r="X26" s="68">
        <f t="shared" si="21"/>
        <v>135515.85475183587</v>
      </c>
      <c r="Y26" s="69">
        <f t="shared" si="4"/>
        <v>846.9740921989741</v>
      </c>
      <c r="Z26" s="70">
        <f t="shared" si="22"/>
        <v>1250.6694334593585</v>
      </c>
      <c r="AA26" s="68">
        <f t="shared" si="23"/>
        <v>134265.18531837652</v>
      </c>
      <c r="AB26" s="69">
        <f t="shared" si="5"/>
        <v>839.1574082398532</v>
      </c>
      <c r="AC26" s="70">
        <f t="shared" si="24"/>
        <v>1258.4861174184794</v>
      </c>
      <c r="AD26" s="68">
        <f t="shared" si="25"/>
        <v>133006.69920095804</v>
      </c>
      <c r="AE26" s="69">
        <f t="shared" si="6"/>
        <v>831.2918700059877</v>
      </c>
      <c r="AF26" s="70">
        <f t="shared" si="26"/>
        <v>1266.351655652345</v>
      </c>
      <c r="AG26" s="68">
        <f t="shared" si="27"/>
        <v>131740.3475453057</v>
      </c>
      <c r="AH26" s="69">
        <f t="shared" si="7"/>
        <v>823.3771721581605</v>
      </c>
      <c r="AI26" s="70">
        <f t="shared" si="28"/>
        <v>1274.266353500172</v>
      </c>
      <c r="AJ26" s="68">
        <f t="shared" si="29"/>
        <v>130466.08119180553</v>
      </c>
      <c r="AK26" s="69">
        <f t="shared" si="8"/>
        <v>815.4130074487845</v>
      </c>
      <c r="AL26" s="70">
        <f t="shared" si="30"/>
        <v>1282.2305182095483</v>
      </c>
      <c r="AM26" s="68">
        <f t="shared" si="31"/>
        <v>129183.85067359598</v>
      </c>
      <c r="AN26" s="69">
        <f t="shared" si="9"/>
        <v>807.3990667099748</v>
      </c>
      <c r="AO26" s="70">
        <f t="shared" si="32"/>
        <v>1290.244458948358</v>
      </c>
      <c r="AP26" s="68">
        <f t="shared" si="33"/>
        <v>127893.60621464762</v>
      </c>
      <c r="AQ26" s="69">
        <f t="shared" si="10"/>
        <v>799.3350388415475</v>
      </c>
      <c r="AR26" s="70">
        <f t="shared" si="34"/>
        <v>1298.3084868167853</v>
      </c>
      <c r="AS26" s="68">
        <f t="shared" si="35"/>
        <v>126595.29772783084</v>
      </c>
      <c r="AT26" s="69">
        <f t="shared" si="11"/>
        <v>791.2206107989426</v>
      </c>
      <c r="AU26" s="70">
        <f t="shared" si="36"/>
        <v>1306.42291485939</v>
      </c>
      <c r="AV26" s="68">
        <f t="shared" si="37"/>
        <v>125288.87481297145</v>
      </c>
      <c r="AW26" s="69">
        <f t="shared" si="12"/>
        <v>783.0554675810715</v>
      </c>
      <c r="AX26" s="70">
        <f t="shared" si="38"/>
        <v>1314.5880580772612</v>
      </c>
      <c r="AY26" s="68">
        <f t="shared" si="39"/>
        <v>123974.28675489419</v>
      </c>
      <c r="AZ26" s="69">
        <f t="shared" si="13"/>
        <v>774.8392922180886</v>
      </c>
      <c r="BA26" s="70">
        <f t="shared" si="40"/>
        <v>1322.804233440244</v>
      </c>
      <c r="BB26" s="68">
        <f t="shared" si="41"/>
        <v>122651.48252145395</v>
      </c>
      <c r="BC26" s="69">
        <f t="shared" si="14"/>
        <v>766.571765759087</v>
      </c>
      <c r="BD26" s="70">
        <f t="shared" si="42"/>
        <v>1331.0717598992455</v>
      </c>
      <c r="BE26" s="68">
        <f t="shared" si="43"/>
        <v>121320.4107615547</v>
      </c>
    </row>
    <row r="27" spans="2:57" ht="12.75" customHeight="1">
      <c r="B27" s="8">
        <f t="shared" si="15"/>
        <v>25</v>
      </c>
      <c r="C27" s="9">
        <f t="shared" si="16"/>
        <v>121320.41076155471</v>
      </c>
      <c r="D27" s="9">
        <f t="shared" si="17"/>
        <v>8534.858150339449</v>
      </c>
      <c r="E27" s="9">
        <f t="shared" si="18"/>
        <v>16636.86415756054</v>
      </c>
      <c r="F27" s="10">
        <f t="shared" si="0"/>
        <v>25171.722307899992</v>
      </c>
      <c r="G27" s="10">
        <f t="shared" si="1"/>
        <v>104683.54660399417</v>
      </c>
      <c r="H27" s="9"/>
      <c r="I27" s="14">
        <f t="shared" si="44"/>
        <v>785166.723620331</v>
      </c>
      <c r="J27" s="15">
        <f t="shared" si="19"/>
        <v>680483.1770163368</v>
      </c>
      <c r="K27" s="16">
        <f t="shared" si="2"/>
        <v>0.8666734803516531</v>
      </c>
      <c r="L27" s="7"/>
      <c r="M27" s="54">
        <f>N5/M25</f>
        <v>416.6666666666667</v>
      </c>
      <c r="U27" s="68">
        <f t="shared" si="45"/>
        <v>121320.4107615547</v>
      </c>
      <c r="V27" s="69">
        <f t="shared" si="3"/>
        <v>758.2525672597168</v>
      </c>
      <c r="W27" s="70">
        <f t="shared" si="20"/>
        <v>1339.390958398616</v>
      </c>
      <c r="X27" s="68">
        <f t="shared" si="21"/>
        <v>119981.01980315609</v>
      </c>
      <c r="Y27" s="69">
        <f t="shared" si="4"/>
        <v>749.8813737697254</v>
      </c>
      <c r="Z27" s="70">
        <f t="shared" si="22"/>
        <v>1347.7621518886071</v>
      </c>
      <c r="AA27" s="68">
        <f t="shared" si="23"/>
        <v>118633.25765126749</v>
      </c>
      <c r="AB27" s="69">
        <f t="shared" si="5"/>
        <v>741.4578603204217</v>
      </c>
      <c r="AC27" s="70">
        <f t="shared" si="24"/>
        <v>1356.185665337911</v>
      </c>
      <c r="AD27" s="68">
        <f t="shared" si="25"/>
        <v>117277.07198592958</v>
      </c>
      <c r="AE27" s="69">
        <f t="shared" si="6"/>
        <v>732.9816999120598</v>
      </c>
      <c r="AF27" s="70">
        <f t="shared" si="26"/>
        <v>1364.6618257462728</v>
      </c>
      <c r="AG27" s="68">
        <f t="shared" si="27"/>
        <v>115912.41016018331</v>
      </c>
      <c r="AH27" s="69">
        <f t="shared" si="7"/>
        <v>724.4525635011456</v>
      </c>
      <c r="AI27" s="70">
        <f t="shared" si="28"/>
        <v>1373.1909621571872</v>
      </c>
      <c r="AJ27" s="68">
        <f t="shared" si="29"/>
        <v>114539.21919802613</v>
      </c>
      <c r="AK27" s="69">
        <f t="shared" si="8"/>
        <v>715.8701199876632</v>
      </c>
      <c r="AL27" s="70">
        <f t="shared" si="30"/>
        <v>1381.7734056706695</v>
      </c>
      <c r="AM27" s="68">
        <f t="shared" si="31"/>
        <v>113157.44579235546</v>
      </c>
      <c r="AN27" s="69">
        <f t="shared" si="9"/>
        <v>707.2340362022215</v>
      </c>
      <c r="AO27" s="70">
        <f t="shared" si="32"/>
        <v>1390.4094894561113</v>
      </c>
      <c r="AP27" s="68">
        <f t="shared" si="33"/>
        <v>111767.03630289935</v>
      </c>
      <c r="AQ27" s="69">
        <f t="shared" si="10"/>
        <v>698.5439768931209</v>
      </c>
      <c r="AR27" s="70">
        <f t="shared" si="34"/>
        <v>1399.0995487652117</v>
      </c>
      <c r="AS27" s="68">
        <f t="shared" si="35"/>
        <v>110367.93675413413</v>
      </c>
      <c r="AT27" s="69">
        <f t="shared" si="11"/>
        <v>689.7996047133382</v>
      </c>
      <c r="AU27" s="70">
        <f t="shared" si="36"/>
        <v>1407.8439209449944</v>
      </c>
      <c r="AV27" s="68">
        <f t="shared" si="37"/>
        <v>108960.09283318913</v>
      </c>
      <c r="AW27" s="69">
        <f t="shared" si="12"/>
        <v>681.000580207432</v>
      </c>
      <c r="AX27" s="70">
        <f t="shared" si="38"/>
        <v>1416.6429454509007</v>
      </c>
      <c r="AY27" s="68">
        <f t="shared" si="39"/>
        <v>107543.44988773823</v>
      </c>
      <c r="AZ27" s="69">
        <f t="shared" si="13"/>
        <v>672.1465617983639</v>
      </c>
      <c r="BA27" s="70">
        <f t="shared" si="40"/>
        <v>1425.4969638599687</v>
      </c>
      <c r="BB27" s="68">
        <f t="shared" si="41"/>
        <v>106117.95292387826</v>
      </c>
      <c r="BC27" s="69">
        <f t="shared" si="14"/>
        <v>663.2372057742391</v>
      </c>
      <c r="BD27" s="70">
        <f t="shared" si="42"/>
        <v>1434.4063198840936</v>
      </c>
      <c r="BE27" s="68">
        <f t="shared" si="43"/>
        <v>104683.54660399417</v>
      </c>
    </row>
    <row r="28" spans="2:57" ht="12.75" customHeight="1">
      <c r="B28" s="8">
        <f t="shared" si="15"/>
        <v>26</v>
      </c>
      <c r="C28" s="9">
        <f t="shared" si="16"/>
        <v>104683.54660399417</v>
      </c>
      <c r="D28" s="9">
        <f t="shared" si="17"/>
        <v>7243.295148973285</v>
      </c>
      <c r="E28" s="9">
        <f t="shared" si="18"/>
        <v>17928.42715892671</v>
      </c>
      <c r="F28" s="10">
        <f t="shared" si="0"/>
        <v>25171.722307899992</v>
      </c>
      <c r="G28" s="10">
        <f t="shared" si="1"/>
        <v>86755.11944506745</v>
      </c>
      <c r="H28" s="9"/>
      <c r="I28" s="14">
        <f t="shared" si="44"/>
        <v>808721.725328941</v>
      </c>
      <c r="J28" s="15">
        <f t="shared" si="19"/>
        <v>721966.6058838735</v>
      </c>
      <c r="K28" s="16">
        <f t="shared" si="2"/>
        <v>0.8927256227600655</v>
      </c>
      <c r="L28" s="7"/>
      <c r="M28" s="56"/>
      <c r="N28" s="28"/>
      <c r="U28" s="68">
        <f t="shared" si="45"/>
        <v>104683.54660399417</v>
      </c>
      <c r="V28" s="69">
        <f t="shared" si="3"/>
        <v>654.2721662749635</v>
      </c>
      <c r="W28" s="70">
        <f t="shared" si="20"/>
        <v>1443.371359383369</v>
      </c>
      <c r="X28" s="68">
        <f t="shared" si="21"/>
        <v>103240.1752446108</v>
      </c>
      <c r="Y28" s="69">
        <f t="shared" si="4"/>
        <v>645.2510952788175</v>
      </c>
      <c r="Z28" s="70">
        <f t="shared" si="22"/>
        <v>1452.3924303795152</v>
      </c>
      <c r="AA28" s="68">
        <f t="shared" si="23"/>
        <v>101787.78281423128</v>
      </c>
      <c r="AB28" s="69">
        <f t="shared" si="5"/>
        <v>636.1736425889454</v>
      </c>
      <c r="AC28" s="70">
        <f t="shared" si="24"/>
        <v>1461.4698830693874</v>
      </c>
      <c r="AD28" s="68">
        <f t="shared" si="25"/>
        <v>100326.3129311619</v>
      </c>
      <c r="AE28" s="69">
        <f t="shared" si="6"/>
        <v>627.0394558197618</v>
      </c>
      <c r="AF28" s="70">
        <f t="shared" si="26"/>
        <v>1470.604069838571</v>
      </c>
      <c r="AG28" s="68">
        <f t="shared" si="27"/>
        <v>98855.70886132332</v>
      </c>
      <c r="AH28" s="69">
        <f t="shared" si="7"/>
        <v>617.8481803832707</v>
      </c>
      <c r="AI28" s="70">
        <f t="shared" si="28"/>
        <v>1479.7953452750621</v>
      </c>
      <c r="AJ28" s="68">
        <f t="shared" si="29"/>
        <v>97375.91351604825</v>
      </c>
      <c r="AK28" s="69">
        <f t="shared" si="8"/>
        <v>608.5994594753015</v>
      </c>
      <c r="AL28" s="70">
        <f t="shared" si="30"/>
        <v>1489.0440661830312</v>
      </c>
      <c r="AM28" s="68">
        <f t="shared" si="31"/>
        <v>95886.86944986522</v>
      </c>
      <c r="AN28" s="69">
        <f t="shared" si="9"/>
        <v>599.2929340616575</v>
      </c>
      <c r="AO28" s="70">
        <f t="shared" si="32"/>
        <v>1498.3505915966753</v>
      </c>
      <c r="AP28" s="68">
        <f t="shared" si="33"/>
        <v>94388.51885826854</v>
      </c>
      <c r="AQ28" s="69">
        <f t="shared" si="10"/>
        <v>589.9282428641783</v>
      </c>
      <c r="AR28" s="70">
        <f t="shared" si="34"/>
        <v>1507.7152827941545</v>
      </c>
      <c r="AS28" s="68">
        <f t="shared" si="35"/>
        <v>92880.80357547438</v>
      </c>
      <c r="AT28" s="69">
        <f t="shared" si="11"/>
        <v>580.5050223467148</v>
      </c>
      <c r="AU28" s="70">
        <f t="shared" si="36"/>
        <v>1517.138503311618</v>
      </c>
      <c r="AV28" s="68">
        <f t="shared" si="37"/>
        <v>91363.66507216275</v>
      </c>
      <c r="AW28" s="69">
        <f t="shared" si="12"/>
        <v>571.0229067010172</v>
      </c>
      <c r="AX28" s="70">
        <f t="shared" si="38"/>
        <v>1526.6206189573154</v>
      </c>
      <c r="AY28" s="68">
        <f t="shared" si="39"/>
        <v>89837.04445320544</v>
      </c>
      <c r="AZ28" s="69">
        <f t="shared" si="13"/>
        <v>561.481527832534</v>
      </c>
      <c r="BA28" s="70">
        <f t="shared" si="40"/>
        <v>1536.1619978257986</v>
      </c>
      <c r="BB28" s="68">
        <f t="shared" si="41"/>
        <v>88300.88245537964</v>
      </c>
      <c r="BC28" s="69">
        <f t="shared" si="14"/>
        <v>551.8805153461227</v>
      </c>
      <c r="BD28" s="70">
        <f t="shared" si="42"/>
        <v>1545.76301031221</v>
      </c>
      <c r="BE28" s="68">
        <f t="shared" si="43"/>
        <v>86755.11944506744</v>
      </c>
    </row>
    <row r="29" spans="2:57" ht="12.75" customHeight="1">
      <c r="B29" s="8">
        <f t="shared" si="15"/>
        <v>27</v>
      </c>
      <c r="C29" s="9">
        <f t="shared" si="16"/>
        <v>86755.11944506745</v>
      </c>
      <c r="D29" s="9">
        <f t="shared" si="17"/>
        <v>5851.4647552247725</v>
      </c>
      <c r="E29" s="9">
        <f t="shared" si="18"/>
        <v>19320.25755267522</v>
      </c>
      <c r="F29" s="10">
        <f t="shared" si="0"/>
        <v>25171.722307899992</v>
      </c>
      <c r="G29" s="10">
        <f t="shared" si="1"/>
        <v>67434.86189239223</v>
      </c>
      <c r="H29" s="9"/>
      <c r="I29" s="14">
        <f t="shared" si="44"/>
        <v>832983.3770888093</v>
      </c>
      <c r="J29" s="15">
        <f t="shared" si="19"/>
        <v>765548.515196417</v>
      </c>
      <c r="K29" s="16">
        <f t="shared" si="2"/>
        <v>0.9190441685306252</v>
      </c>
      <c r="L29" s="7"/>
      <c r="N29" s="36"/>
      <c r="U29" s="68">
        <f t="shared" si="45"/>
        <v>86755.11944506744</v>
      </c>
      <c r="V29" s="69">
        <f t="shared" si="3"/>
        <v>542.2194965316714</v>
      </c>
      <c r="W29" s="70">
        <f t="shared" si="20"/>
        <v>1555.4240291266613</v>
      </c>
      <c r="X29" s="68">
        <f t="shared" si="21"/>
        <v>85199.69541594078</v>
      </c>
      <c r="Y29" s="69">
        <f t="shared" si="4"/>
        <v>532.4980963496298</v>
      </c>
      <c r="Z29" s="70">
        <f t="shared" si="22"/>
        <v>1565.145429308703</v>
      </c>
      <c r="AA29" s="68">
        <f t="shared" si="23"/>
        <v>83634.54998663208</v>
      </c>
      <c r="AB29" s="69">
        <f t="shared" si="5"/>
        <v>522.7159374164504</v>
      </c>
      <c r="AC29" s="70">
        <f t="shared" si="24"/>
        <v>1574.9275882418824</v>
      </c>
      <c r="AD29" s="68">
        <f t="shared" si="25"/>
        <v>82059.62239839019</v>
      </c>
      <c r="AE29" s="69">
        <f t="shared" si="6"/>
        <v>512.8726399899386</v>
      </c>
      <c r="AF29" s="70">
        <f t="shared" si="26"/>
        <v>1584.770885668394</v>
      </c>
      <c r="AG29" s="68">
        <f t="shared" si="27"/>
        <v>80474.8515127218</v>
      </c>
      <c r="AH29" s="69">
        <f t="shared" si="7"/>
        <v>502.9678219545112</v>
      </c>
      <c r="AI29" s="70">
        <f t="shared" si="28"/>
        <v>1594.6757037038215</v>
      </c>
      <c r="AJ29" s="68">
        <f t="shared" si="29"/>
        <v>78880.17580901798</v>
      </c>
      <c r="AK29" s="69">
        <f t="shared" si="8"/>
        <v>493.00109880636234</v>
      </c>
      <c r="AL29" s="70">
        <f t="shared" si="30"/>
        <v>1604.6424268519704</v>
      </c>
      <c r="AM29" s="68">
        <f t="shared" si="31"/>
        <v>77275.533382166</v>
      </c>
      <c r="AN29" s="69">
        <f t="shared" si="9"/>
        <v>482.97208363853747</v>
      </c>
      <c r="AO29" s="70">
        <f t="shared" si="32"/>
        <v>1614.6714420197952</v>
      </c>
      <c r="AP29" s="68">
        <f t="shared" si="33"/>
        <v>75660.8619401462</v>
      </c>
      <c r="AQ29" s="69">
        <f t="shared" si="10"/>
        <v>472.8803871259137</v>
      </c>
      <c r="AR29" s="70">
        <f t="shared" si="34"/>
        <v>1624.763138532419</v>
      </c>
      <c r="AS29" s="68">
        <f t="shared" si="35"/>
        <v>74036.09880161379</v>
      </c>
      <c r="AT29" s="69">
        <f t="shared" si="11"/>
        <v>462.7256175100861</v>
      </c>
      <c r="AU29" s="70">
        <f t="shared" si="36"/>
        <v>1634.9179081482466</v>
      </c>
      <c r="AV29" s="68">
        <f t="shared" si="37"/>
        <v>72401.18089346554</v>
      </c>
      <c r="AW29" s="69">
        <f t="shared" si="12"/>
        <v>452.5073805841596</v>
      </c>
      <c r="AX29" s="70">
        <f t="shared" si="38"/>
        <v>1645.136145074173</v>
      </c>
      <c r="AY29" s="68">
        <f t="shared" si="39"/>
        <v>70756.04474839137</v>
      </c>
      <c r="AZ29" s="69">
        <f t="shared" si="13"/>
        <v>442.22527967744605</v>
      </c>
      <c r="BA29" s="70">
        <f t="shared" si="40"/>
        <v>1655.4182459808867</v>
      </c>
      <c r="BB29" s="68">
        <f t="shared" si="41"/>
        <v>69100.6265024105</v>
      </c>
      <c r="BC29" s="69">
        <f t="shared" si="14"/>
        <v>431.87891564006554</v>
      </c>
      <c r="BD29" s="70">
        <f t="shared" si="42"/>
        <v>1665.7646100182671</v>
      </c>
      <c r="BE29" s="68">
        <f t="shared" si="43"/>
        <v>67434.86189239223</v>
      </c>
    </row>
    <row r="30" spans="2:57" ht="12.75" customHeight="1">
      <c r="B30" s="8">
        <f t="shared" si="15"/>
        <v>28</v>
      </c>
      <c r="C30" s="9">
        <f t="shared" si="16"/>
        <v>67434.86189239223</v>
      </c>
      <c r="D30" s="9">
        <f t="shared" si="17"/>
        <v>4351.582950842752</v>
      </c>
      <c r="E30" s="9">
        <f t="shared" si="18"/>
        <v>20820.13935705724</v>
      </c>
      <c r="F30" s="10">
        <f t="shared" si="0"/>
        <v>25171.722307899992</v>
      </c>
      <c r="G30" s="10">
        <f t="shared" si="1"/>
        <v>46614.72253533499</v>
      </c>
      <c r="H30" s="9"/>
      <c r="I30" s="14">
        <f t="shared" si="44"/>
        <v>857972.8784014735</v>
      </c>
      <c r="J30" s="15">
        <f t="shared" si="19"/>
        <v>811358.1558661385</v>
      </c>
      <c r="K30" s="16">
        <f t="shared" si="2"/>
        <v>0.9456687691315081</v>
      </c>
      <c r="L30" s="7"/>
      <c r="M30" s="47" t="s">
        <v>28</v>
      </c>
      <c r="U30" s="68">
        <f t="shared" si="45"/>
        <v>67434.86189239223</v>
      </c>
      <c r="V30" s="69">
        <f t="shared" si="3"/>
        <v>421.4678868274514</v>
      </c>
      <c r="W30" s="70">
        <f t="shared" si="20"/>
        <v>1676.1756388308813</v>
      </c>
      <c r="X30" s="68">
        <f>U30-W30</f>
        <v>65758.68625356135</v>
      </c>
      <c r="Y30" s="69">
        <f t="shared" si="4"/>
        <v>410.9917890847584</v>
      </c>
      <c r="Z30" s="70">
        <f t="shared" si="22"/>
        <v>1686.6517365735742</v>
      </c>
      <c r="AA30" s="68">
        <f>X30-Z30</f>
        <v>64072.03451698778</v>
      </c>
      <c r="AB30" s="69">
        <f t="shared" si="5"/>
        <v>400.45021573117356</v>
      </c>
      <c r="AC30" s="70">
        <f t="shared" si="24"/>
        <v>1697.1933099271591</v>
      </c>
      <c r="AD30" s="68">
        <f>AA30-AC30</f>
        <v>62374.841207060614</v>
      </c>
      <c r="AE30" s="69">
        <f t="shared" si="6"/>
        <v>389.8427575441288</v>
      </c>
      <c r="AF30" s="70">
        <f t="shared" si="26"/>
        <v>1707.800768114204</v>
      </c>
      <c r="AG30" s="68">
        <f>AD30-AF30</f>
        <v>60667.04043894641</v>
      </c>
      <c r="AH30" s="69">
        <f t="shared" si="7"/>
        <v>379.16900274341504</v>
      </c>
      <c r="AI30" s="70">
        <f t="shared" si="28"/>
        <v>1718.4745229149175</v>
      </c>
      <c r="AJ30" s="68">
        <f>AG30-AI30</f>
        <v>58948.56591603149</v>
      </c>
      <c r="AK30" s="69">
        <f t="shared" si="8"/>
        <v>368.4285369751968</v>
      </c>
      <c r="AL30" s="70">
        <f t="shared" si="30"/>
        <v>1729.214988683136</v>
      </c>
      <c r="AM30" s="68">
        <f>AJ30-AL30</f>
        <v>57219.35092734835</v>
      </c>
      <c r="AN30" s="69">
        <f t="shared" si="9"/>
        <v>357.62094329592713</v>
      </c>
      <c r="AO30" s="70">
        <f t="shared" si="32"/>
        <v>1740.0225823624055</v>
      </c>
      <c r="AP30" s="68">
        <f>AM30-AO30</f>
        <v>55479.328344985945</v>
      </c>
      <c r="AQ30" s="69">
        <f t="shared" si="10"/>
        <v>346.74580215616214</v>
      </c>
      <c r="AR30" s="70">
        <f t="shared" si="34"/>
        <v>1750.8977235021705</v>
      </c>
      <c r="AS30" s="68">
        <f>AP30-AR30</f>
        <v>53728.43062148377</v>
      </c>
      <c r="AT30" s="69">
        <f t="shared" si="11"/>
        <v>335.80269138427354</v>
      </c>
      <c r="AU30" s="70">
        <f t="shared" si="36"/>
        <v>1761.840834274059</v>
      </c>
      <c r="AV30" s="68">
        <f>AS30-AU30</f>
        <v>51966.58978720971</v>
      </c>
      <c r="AW30" s="69">
        <f t="shared" si="12"/>
        <v>324.79118617006066</v>
      </c>
      <c r="AX30" s="70">
        <f t="shared" si="38"/>
        <v>1772.852339488272</v>
      </c>
      <c r="AY30" s="68">
        <f>AV30-AX30</f>
        <v>50193.73744772144</v>
      </c>
      <c r="AZ30" s="69">
        <f t="shared" si="13"/>
        <v>313.71085904825895</v>
      </c>
      <c r="BA30" s="70">
        <f t="shared" si="40"/>
        <v>1783.9326666100737</v>
      </c>
      <c r="BB30" s="68">
        <f>AY30-BA30</f>
        <v>48409.804781111365</v>
      </c>
      <c r="BC30" s="69">
        <f t="shared" si="14"/>
        <v>302.561279881946</v>
      </c>
      <c r="BD30" s="70">
        <f t="shared" si="42"/>
        <v>1795.0822457763866</v>
      </c>
      <c r="BE30" s="68">
        <f>BB30-BD30</f>
        <v>46614.72253533498</v>
      </c>
    </row>
    <row r="31" spans="2:57" ht="12.75" customHeight="1">
      <c r="B31" s="8">
        <f t="shared" si="15"/>
        <v>29</v>
      </c>
      <c r="C31" s="9">
        <f t="shared" si="16"/>
        <v>46614.72253533499</v>
      </c>
      <c r="D31" s="9">
        <f t="shared" si="17"/>
        <v>2735.2614240096837</v>
      </c>
      <c r="E31" s="9">
        <f t="shared" si="18"/>
        <v>22436.46088389031</v>
      </c>
      <c r="F31" s="10">
        <f t="shared" si="0"/>
        <v>25171.722307899992</v>
      </c>
      <c r="G31" s="10">
        <f t="shared" si="1"/>
        <v>24178.26165144468</v>
      </c>
      <c r="H31" s="9"/>
      <c r="I31" s="14">
        <f t="shared" si="44"/>
        <v>883712.0647535177</v>
      </c>
      <c r="J31" s="15">
        <f t="shared" si="19"/>
        <v>859533.803102073</v>
      </c>
      <c r="K31" s="16">
        <f t="shared" si="2"/>
        <v>0.9726401136571691</v>
      </c>
      <c r="L31" s="7"/>
      <c r="M31" s="46">
        <v>275000</v>
      </c>
      <c r="U31" s="68">
        <f t="shared" si="45"/>
        <v>46614.72253533498</v>
      </c>
      <c r="V31" s="69">
        <f t="shared" si="3"/>
        <v>291.3420158458436</v>
      </c>
      <c r="W31" s="70">
        <f t="shared" si="20"/>
        <v>1806.301509812489</v>
      </c>
      <c r="X31" s="68">
        <f>U31-W31</f>
        <v>44808.42102552249</v>
      </c>
      <c r="Y31" s="69">
        <f t="shared" si="4"/>
        <v>280.0526314095155</v>
      </c>
      <c r="Z31" s="70">
        <f t="shared" si="22"/>
        <v>1817.5908942488172</v>
      </c>
      <c r="AA31" s="68">
        <f>X31-Z31</f>
        <v>42990.83013127367</v>
      </c>
      <c r="AB31" s="69">
        <f t="shared" si="5"/>
        <v>268.69268832046043</v>
      </c>
      <c r="AC31" s="70">
        <f t="shared" si="24"/>
        <v>1828.9508373378721</v>
      </c>
      <c r="AD31" s="68">
        <f>AA31-AC31</f>
        <v>41161.8792939358</v>
      </c>
      <c r="AE31" s="69">
        <f t="shared" si="6"/>
        <v>257.26174558709874</v>
      </c>
      <c r="AF31" s="70">
        <f t="shared" si="26"/>
        <v>1840.381780071234</v>
      </c>
      <c r="AG31" s="68">
        <f>AD31-AF31</f>
        <v>39321.49751386457</v>
      </c>
      <c r="AH31" s="69">
        <f t="shared" si="7"/>
        <v>245.75935946165353</v>
      </c>
      <c r="AI31" s="70">
        <f t="shared" si="28"/>
        <v>1851.8841661966792</v>
      </c>
      <c r="AJ31" s="68">
        <f>AG31-AI31</f>
        <v>37469.61334766789</v>
      </c>
      <c r="AK31" s="69">
        <f t="shared" si="8"/>
        <v>234.1850834229243</v>
      </c>
      <c r="AL31" s="70">
        <f t="shared" si="30"/>
        <v>1863.4584422354085</v>
      </c>
      <c r="AM31" s="68">
        <f>AJ31-AL31</f>
        <v>35606.15490543248</v>
      </c>
      <c r="AN31" s="69">
        <f t="shared" si="9"/>
        <v>222.53846815895298</v>
      </c>
      <c r="AO31" s="70">
        <f t="shared" si="32"/>
        <v>1875.1050574993797</v>
      </c>
      <c r="AP31" s="68">
        <f>AM31-AO31</f>
        <v>33731.0498479331</v>
      </c>
      <c r="AQ31" s="69">
        <f t="shared" si="10"/>
        <v>210.81906154958185</v>
      </c>
      <c r="AR31" s="70">
        <f t="shared" si="34"/>
        <v>1886.8244641087508</v>
      </c>
      <c r="AS31" s="68">
        <f>AP31-AR31</f>
        <v>31844.22538382435</v>
      </c>
      <c r="AT31" s="69">
        <f t="shared" si="11"/>
        <v>199.02640864890216</v>
      </c>
      <c r="AU31" s="70">
        <f t="shared" si="36"/>
        <v>1898.6171170094306</v>
      </c>
      <c r="AV31" s="68">
        <f>AS31-AU31</f>
        <v>29945.608266814917</v>
      </c>
      <c r="AW31" s="69">
        <f t="shared" si="12"/>
        <v>187.16005166759322</v>
      </c>
      <c r="AX31" s="70">
        <f t="shared" si="38"/>
        <v>1910.4834739907394</v>
      </c>
      <c r="AY31" s="68">
        <f>AV31-AX31</f>
        <v>28035.12479282418</v>
      </c>
      <c r="AZ31" s="69">
        <f t="shared" si="13"/>
        <v>175.2195299551511</v>
      </c>
      <c r="BA31" s="70">
        <f t="shared" si="40"/>
        <v>1922.4239957031816</v>
      </c>
      <c r="BB31" s="68">
        <f>AY31-BA31</f>
        <v>26112.700797120997</v>
      </c>
      <c r="BC31" s="69">
        <f t="shared" si="14"/>
        <v>163.20437998200623</v>
      </c>
      <c r="BD31" s="70">
        <f t="shared" si="42"/>
        <v>1934.4391456763265</v>
      </c>
      <c r="BE31" s="68">
        <f>BB31-BD31</f>
        <v>24178.26165144467</v>
      </c>
    </row>
    <row r="32" spans="2:57" ht="12.75" customHeight="1">
      <c r="B32" s="8">
        <f t="shared" si="15"/>
        <v>30</v>
      </c>
      <c r="C32" s="9">
        <f t="shared" si="16"/>
        <v>24178.26165144468</v>
      </c>
      <c r="D32" s="9">
        <f t="shared" si="17"/>
        <v>993.4606564616175</v>
      </c>
      <c r="E32" s="9">
        <f t="shared" si="18"/>
        <v>24178.261651438374</v>
      </c>
      <c r="F32" s="10">
        <f t="shared" si="0"/>
        <v>25171.722307899992</v>
      </c>
      <c r="G32" s="10">
        <f t="shared" si="1"/>
        <v>6.30825525149703E-09</v>
      </c>
      <c r="H32" s="9"/>
      <c r="I32" s="22">
        <f t="shared" si="44"/>
        <v>910223.4266961233</v>
      </c>
      <c r="J32" s="23">
        <f t="shared" si="19"/>
        <v>910223.426696117</v>
      </c>
      <c r="K32" s="24">
        <f t="shared" si="2"/>
        <v>0.9999999999999931</v>
      </c>
      <c r="L32" s="7"/>
      <c r="U32" s="68">
        <f t="shared" si="45"/>
        <v>24178.26165144467</v>
      </c>
      <c r="V32" s="69">
        <f t="shared" si="3"/>
        <v>151.11413532152918</v>
      </c>
      <c r="W32" s="70">
        <f t="shared" si="20"/>
        <v>1946.5293903368035</v>
      </c>
      <c r="X32" s="68">
        <f>U32-W32</f>
        <v>22231.732261107867</v>
      </c>
      <c r="Y32" s="69">
        <f t="shared" si="4"/>
        <v>138.94832663192415</v>
      </c>
      <c r="Z32" s="70">
        <f t="shared" si="22"/>
        <v>1958.6951990264085</v>
      </c>
      <c r="AA32" s="68">
        <f>X32-Z32</f>
        <v>20273.037062081457</v>
      </c>
      <c r="AB32" s="69">
        <f t="shared" si="5"/>
        <v>126.7064816380091</v>
      </c>
      <c r="AC32" s="70">
        <f t="shared" si="24"/>
        <v>1970.9370440203236</v>
      </c>
      <c r="AD32" s="68">
        <f>AA32-AC32</f>
        <v>18302.100018061134</v>
      </c>
      <c r="AE32" s="69">
        <f t="shared" si="6"/>
        <v>114.38812511288208</v>
      </c>
      <c r="AF32" s="70">
        <f t="shared" si="26"/>
        <v>1983.2554005454506</v>
      </c>
      <c r="AG32" s="68">
        <f>AD32-AF32</f>
        <v>16318.844617515682</v>
      </c>
      <c r="AH32" s="69">
        <f t="shared" si="7"/>
        <v>101.992778859473</v>
      </c>
      <c r="AI32" s="70">
        <f t="shared" si="28"/>
        <v>1995.6507467988597</v>
      </c>
      <c r="AJ32" s="68">
        <f>AG32-AI32</f>
        <v>14323.193870716823</v>
      </c>
      <c r="AK32" s="69">
        <f t="shared" si="8"/>
        <v>89.51996169198013</v>
      </c>
      <c r="AL32" s="70">
        <f t="shared" si="30"/>
        <v>2008.1235639663525</v>
      </c>
      <c r="AM32" s="68">
        <f>AJ32-AL32</f>
        <v>12315.070306750471</v>
      </c>
      <c r="AN32" s="69">
        <f t="shared" si="9"/>
        <v>76.96918941719044</v>
      </c>
      <c r="AO32" s="70">
        <f t="shared" si="32"/>
        <v>2020.6743362411423</v>
      </c>
      <c r="AP32" s="68">
        <f>AM32-AO32</f>
        <v>10294.39597050933</v>
      </c>
      <c r="AQ32" s="69">
        <f t="shared" si="10"/>
        <v>64.3399748156833</v>
      </c>
      <c r="AR32" s="70">
        <f t="shared" si="34"/>
        <v>2033.3035508426494</v>
      </c>
      <c r="AS32" s="68">
        <f>AP32-AR32</f>
        <v>8261.09241966668</v>
      </c>
      <c r="AT32" s="69">
        <f t="shared" si="11"/>
        <v>51.631827622916745</v>
      </c>
      <c r="AU32" s="70">
        <f t="shared" si="36"/>
        <v>2046.011698035416</v>
      </c>
      <c r="AV32" s="68">
        <f>AS32-AU32</f>
        <v>6215.080721631264</v>
      </c>
      <c r="AW32" s="69">
        <f t="shared" si="12"/>
        <v>38.8442545101954</v>
      </c>
      <c r="AX32" s="70">
        <f t="shared" si="38"/>
        <v>2058.7992711481374</v>
      </c>
      <c r="AY32" s="68">
        <f>AV32-AX32</f>
        <v>4156.281450483127</v>
      </c>
      <c r="AZ32" s="69">
        <f t="shared" si="13"/>
        <v>25.97675906551954</v>
      </c>
      <c r="BA32" s="70">
        <f t="shared" si="40"/>
        <v>2071.666766592813</v>
      </c>
      <c r="BB32" s="68">
        <f>AY32-BA32</f>
        <v>2084.6146838903137</v>
      </c>
      <c r="BC32" s="69">
        <f t="shared" si="14"/>
        <v>13.02884177431446</v>
      </c>
      <c r="BD32" s="70">
        <f t="shared" si="42"/>
        <v>2084.614683884018</v>
      </c>
      <c r="BE32" s="68">
        <f>BB32-BD32</f>
        <v>6.295522325672209E-09</v>
      </c>
    </row>
    <row r="33" spans="2:11" ht="3.75" customHeight="1">
      <c r="B33" s="26"/>
      <c r="C33" s="27"/>
      <c r="G33" s="26"/>
      <c r="H33" s="26"/>
      <c r="I33" s="26"/>
      <c r="J33" s="26"/>
      <c r="K33" s="26"/>
    </row>
    <row r="34" spans="2:13" ht="12.75" customHeight="1">
      <c r="B34" s="26"/>
      <c r="C34" s="26"/>
      <c r="D34" s="28"/>
      <c r="E34" s="28"/>
      <c r="F34" s="35"/>
      <c r="G34" s="26"/>
      <c r="K34" s="26"/>
      <c r="M34" s="47" t="s">
        <v>29</v>
      </c>
    </row>
    <row r="35" spans="2:14" ht="12" customHeight="1">
      <c r="B35" s="26"/>
      <c r="C35" s="26"/>
      <c r="E35" s="29"/>
      <c r="G35" s="9"/>
      <c r="I35" s="19" t="s">
        <v>12</v>
      </c>
      <c r="J35" s="48" t="s">
        <v>30</v>
      </c>
      <c r="K35" s="26"/>
      <c r="M35" s="50">
        <v>0.0078</v>
      </c>
      <c r="N35" s="49">
        <v>0.05</v>
      </c>
    </row>
    <row r="36" spans="5:14" ht="12.75">
      <c r="E36" s="28"/>
      <c r="F36" s="28"/>
      <c r="I36" s="20" t="s">
        <v>3</v>
      </c>
      <c r="J36" s="48" t="s">
        <v>31</v>
      </c>
      <c r="M36" s="50">
        <v>0.0052</v>
      </c>
      <c r="N36" s="49">
        <v>0.1</v>
      </c>
    </row>
    <row r="37" spans="3:5" ht="6" customHeight="1">
      <c r="C37" s="28"/>
      <c r="D37" s="28"/>
      <c r="E37" s="28"/>
    </row>
    <row r="38" spans="9:13" ht="15.75">
      <c r="I38" s="21">
        <f>IF(M5=30,SUM(D3:D32),"---")</f>
        <v>455151.66923700605</v>
      </c>
      <c r="M38" s="51">
        <f>IF(N24&lt;0.2,M36*M7,0)</f>
        <v>0</v>
      </c>
    </row>
    <row r="39" ht="12.75">
      <c r="I39" s="20" t="s">
        <v>4</v>
      </c>
    </row>
    <row r="40" ht="15.75">
      <c r="I40" s="21">
        <f>IF(M5=30,(SUM(E3:E32)),"---")</f>
        <v>299999.99999999366</v>
      </c>
    </row>
    <row r="41" ht="12.75">
      <c r="I41" s="20" t="s">
        <v>34</v>
      </c>
    </row>
    <row r="42" ht="15.75">
      <c r="I42" s="25">
        <f>IF(M5=30,SUM(F3:F32),"---")</f>
        <v>755151.6692369994</v>
      </c>
    </row>
  </sheetData>
  <mergeCells count="1">
    <mergeCell ref="M2:N2"/>
  </mergeCells>
  <conditionalFormatting sqref="H3:H32 F3:F32">
    <cfRule type="cellIs" priority="1" dxfId="0" operator="lessThan" stopIfTrue="1">
      <formula>0</formula>
    </cfRule>
  </conditionalFormatting>
  <conditionalFormatting sqref="C3:E32 U3:BE32">
    <cfRule type="cellIs" priority="2" dxfId="0" operator="lessThanOrEqual" stopIfTrue="1">
      <formula>1</formula>
    </cfRule>
  </conditionalFormatting>
  <conditionalFormatting sqref="G3:G32 N17 N11 N14 N8">
    <cfRule type="cellIs" priority="3" dxfId="0" operator="lessThanOrEqual" stopIfTrue="1">
      <formula>0</formula>
    </cfRule>
  </conditionalFormatting>
  <printOptions horizontalCentered="1"/>
  <pageMargins left="0.2" right="0.2" top="0.5" bottom="0.2" header="0.5" footer="0.5"/>
  <pageSetup horizontalDpi="200" verticalDpi="200" orientation="landscape" scale="95" r:id="rId1"/>
  <headerFooter alignWithMargins="0">
    <oddFooter>&amp;CHome Mortgage Table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Dartmouth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 Macauley</dc:creator>
  <cp:keywords/>
  <dc:description/>
  <cp:lastModifiedBy>Douglas Macauley</cp:lastModifiedBy>
  <cp:lastPrinted>2001-04-13T19:58:07Z</cp:lastPrinted>
  <dcterms:created xsi:type="dcterms:W3CDTF">2001-04-04T02:36:03Z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